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Felicity\Desktop\University of Liverpool\Module 4\WEEK 8\"/>
    </mc:Choice>
  </mc:AlternateContent>
  <bookViews>
    <workbookView xWindow="0" yWindow="0" windowWidth="20490" windowHeight="7755" firstSheet="1" activeTab="2"/>
  </bookViews>
  <sheets>
    <sheet name="Introduction" sheetId="4" r:id="rId1"/>
    <sheet name="Inputs" sheetId="1" r:id="rId2"/>
    <sheet name="Forecasts" sheetId="2" r:id="rId3"/>
    <sheet name="Valuation Summary" sheetId="3" r:id="rId4"/>
    <sheet name="Terminal Value" sheetId="7" r:id="rId5"/>
    <sheet name="Scenarios 1" sheetId="9" r:id="rId6"/>
    <sheet name="Scenarios" sheetId="8" r:id="rId7"/>
  </sheets>
  <externalReferences>
    <externalReference r:id="rId8"/>
  </externalReferenc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O13" i="9" l="1"/>
  <c r="O8" i="9"/>
  <c r="O5" i="9"/>
  <c r="M13" i="9"/>
  <c r="M8" i="9"/>
  <c r="I45" i="7"/>
  <c r="I44" i="7"/>
  <c r="F33" i="7"/>
  <c r="E29" i="1"/>
  <c r="E5" i="1"/>
  <c r="E6" i="1"/>
  <c r="K69" i="2"/>
  <c r="K75" i="2"/>
  <c r="K49" i="2"/>
  <c r="K76" i="2"/>
  <c r="K57" i="2"/>
  <c r="E50" i="1"/>
  <c r="C21" i="2"/>
  <c r="D21" i="2"/>
  <c r="E21" i="2"/>
  <c r="F21" i="2"/>
  <c r="G21" i="2"/>
  <c r="H21" i="2"/>
  <c r="I21" i="2"/>
  <c r="J21" i="2"/>
  <c r="K21" i="2"/>
  <c r="C19" i="2"/>
  <c r="B49" i="1"/>
  <c r="B6" i="2"/>
  <c r="B19" i="2"/>
  <c r="B33" i="2"/>
  <c r="C33" i="2"/>
  <c r="C6" i="2"/>
  <c r="B28" i="1"/>
  <c r="B7" i="2"/>
  <c r="B34" i="2"/>
  <c r="C34" i="2"/>
  <c r="C7" i="2"/>
  <c r="C8" i="2"/>
  <c r="E8" i="1"/>
  <c r="B10" i="2"/>
  <c r="B50" i="1"/>
  <c r="B11" i="2"/>
  <c r="B12" i="2"/>
  <c r="B13" i="2"/>
  <c r="B15" i="2"/>
  <c r="C15" i="2"/>
  <c r="C10" i="2"/>
  <c r="B35" i="2"/>
  <c r="C35" i="2"/>
  <c r="C11" i="2"/>
  <c r="C12" i="2"/>
  <c r="E22" i="1"/>
  <c r="E24" i="1"/>
  <c r="E27" i="1"/>
  <c r="E34" i="1"/>
  <c r="B23" i="2"/>
  <c r="C23" i="2"/>
  <c r="C24" i="2"/>
  <c r="C25" i="2"/>
  <c r="D12" i="2"/>
  <c r="D23" i="2"/>
  <c r="D24" i="2"/>
  <c r="D25" i="2"/>
  <c r="E12" i="2"/>
  <c r="E23" i="2"/>
  <c r="E24" i="2"/>
  <c r="E25" i="2"/>
  <c r="F12" i="2"/>
  <c r="F23" i="2"/>
  <c r="F24" i="2"/>
  <c r="F25" i="2"/>
  <c r="G12" i="2"/>
  <c r="G23" i="2"/>
  <c r="G24" i="2"/>
  <c r="G25" i="2"/>
  <c r="H12" i="2"/>
  <c r="H23" i="2"/>
  <c r="H24" i="2"/>
  <c r="H25" i="2"/>
  <c r="I12" i="2"/>
  <c r="I23" i="2"/>
  <c r="I24" i="2"/>
  <c r="I25" i="2"/>
  <c r="J12" i="2"/>
  <c r="J23" i="2"/>
  <c r="J24" i="2"/>
  <c r="J25" i="2"/>
  <c r="K12" i="2"/>
  <c r="K37" i="2"/>
  <c r="B38" i="2"/>
  <c r="C38" i="2"/>
  <c r="D38" i="2"/>
  <c r="E38" i="2"/>
  <c r="F38" i="2"/>
  <c r="G38" i="2"/>
  <c r="H38" i="2"/>
  <c r="I38" i="2"/>
  <c r="J38" i="2"/>
  <c r="K38" i="2"/>
  <c r="K39" i="2"/>
  <c r="K40" i="2"/>
  <c r="K68" i="2"/>
  <c r="D19" i="2"/>
  <c r="D33" i="2"/>
  <c r="D6" i="2"/>
  <c r="D34" i="2"/>
  <c r="D7" i="2"/>
  <c r="D8" i="2"/>
  <c r="E9" i="1"/>
  <c r="E10" i="1"/>
  <c r="B27" i="2"/>
  <c r="C27" i="2"/>
  <c r="D27" i="2"/>
  <c r="E31" i="1"/>
  <c r="B28" i="2"/>
  <c r="C28" i="2"/>
  <c r="D28" i="2"/>
  <c r="D15" i="2"/>
  <c r="G24" i="7"/>
  <c r="F24" i="7"/>
  <c r="D10" i="2"/>
  <c r="D29" i="2"/>
  <c r="D30" i="2"/>
  <c r="C29" i="2"/>
  <c r="C30" i="2"/>
  <c r="G25" i="7"/>
  <c r="C49" i="2"/>
  <c r="G14" i="7"/>
  <c r="G26" i="7"/>
  <c r="E19" i="2"/>
  <c r="E33" i="2"/>
  <c r="E6" i="2"/>
  <c r="E34" i="2"/>
  <c r="E7" i="2"/>
  <c r="E8" i="2"/>
  <c r="E27" i="2"/>
  <c r="E28" i="2"/>
  <c r="E15" i="2"/>
  <c r="H24" i="7"/>
  <c r="E10" i="2"/>
  <c r="E29" i="2"/>
  <c r="E30" i="2"/>
  <c r="H25" i="7"/>
  <c r="D49" i="2"/>
  <c r="H14" i="7"/>
  <c r="H26" i="7"/>
  <c r="F19" i="2"/>
  <c r="F33" i="2"/>
  <c r="F6" i="2"/>
  <c r="F34" i="2"/>
  <c r="F7" i="2"/>
  <c r="F8" i="2"/>
  <c r="F27" i="2"/>
  <c r="F28" i="2"/>
  <c r="F15" i="2"/>
  <c r="I24" i="7"/>
  <c r="F10" i="2"/>
  <c r="F29" i="2"/>
  <c r="F30" i="2"/>
  <c r="I25" i="7"/>
  <c r="E49" i="2"/>
  <c r="I14" i="7"/>
  <c r="I26" i="7"/>
  <c r="G19" i="2"/>
  <c r="G33" i="2"/>
  <c r="G6" i="2"/>
  <c r="G34" i="2"/>
  <c r="G7" i="2"/>
  <c r="G8" i="2"/>
  <c r="G27" i="2"/>
  <c r="G28" i="2"/>
  <c r="G15" i="2"/>
  <c r="J24" i="7"/>
  <c r="G10" i="2"/>
  <c r="G29" i="2"/>
  <c r="G30" i="2"/>
  <c r="J25" i="7"/>
  <c r="F49" i="2"/>
  <c r="J14" i="7"/>
  <c r="J26" i="7"/>
  <c r="H19" i="2"/>
  <c r="H33" i="2"/>
  <c r="H6" i="2"/>
  <c r="H34" i="2"/>
  <c r="H7" i="2"/>
  <c r="H8" i="2"/>
  <c r="H27" i="2"/>
  <c r="H28" i="2"/>
  <c r="H15" i="2"/>
  <c r="K24" i="7"/>
  <c r="H10" i="2"/>
  <c r="H29" i="2"/>
  <c r="H30" i="2"/>
  <c r="K25" i="7"/>
  <c r="G49" i="2"/>
  <c r="K14" i="7"/>
  <c r="K26" i="7"/>
  <c r="I19" i="2"/>
  <c r="I33" i="2"/>
  <c r="I6" i="2"/>
  <c r="I34" i="2"/>
  <c r="I7" i="2"/>
  <c r="I8" i="2"/>
  <c r="I27" i="2"/>
  <c r="I28" i="2"/>
  <c r="I15" i="2"/>
  <c r="L24" i="7"/>
  <c r="I10" i="2"/>
  <c r="I29" i="2"/>
  <c r="I30" i="2"/>
  <c r="L25" i="7"/>
  <c r="H49" i="2"/>
  <c r="L14" i="7"/>
  <c r="L26" i="7"/>
  <c r="J19" i="2"/>
  <c r="J33" i="2"/>
  <c r="J6" i="2"/>
  <c r="J34" i="2"/>
  <c r="J7" i="2"/>
  <c r="J8" i="2"/>
  <c r="J27" i="2"/>
  <c r="J28" i="2"/>
  <c r="J15" i="2"/>
  <c r="M24" i="7"/>
  <c r="J10" i="2"/>
  <c r="J29" i="2"/>
  <c r="J30" i="2"/>
  <c r="M25" i="7"/>
  <c r="I49" i="2"/>
  <c r="M14" i="7"/>
  <c r="M26" i="7"/>
  <c r="K19" i="2"/>
  <c r="K33" i="2"/>
  <c r="K6" i="2"/>
  <c r="K34" i="2"/>
  <c r="K7" i="2"/>
  <c r="K8" i="2"/>
  <c r="K27" i="2"/>
  <c r="K28" i="2"/>
  <c r="K15" i="2"/>
  <c r="N24" i="7"/>
  <c r="K10" i="2"/>
  <c r="K29" i="2"/>
  <c r="K30" i="2"/>
  <c r="N25" i="7"/>
  <c r="J49" i="2"/>
  <c r="N14" i="7"/>
  <c r="N26" i="7"/>
  <c r="F42" i="7"/>
  <c r="H42" i="7"/>
  <c r="I42" i="7"/>
  <c r="C43" i="2"/>
  <c r="C42" i="2"/>
  <c r="F22" i="7"/>
  <c r="D43" i="2"/>
  <c r="D42" i="2"/>
  <c r="G22" i="7"/>
  <c r="E43" i="2"/>
  <c r="E42" i="2"/>
  <c r="H22" i="7"/>
  <c r="F43" i="2"/>
  <c r="F42" i="2"/>
  <c r="I22" i="7"/>
  <c r="G43" i="2"/>
  <c r="G42" i="2"/>
  <c r="J22" i="7"/>
  <c r="H43" i="2"/>
  <c r="H42" i="2"/>
  <c r="K22" i="7"/>
  <c r="I43" i="2"/>
  <c r="I42" i="2"/>
  <c r="L22" i="7"/>
  <c r="J43" i="2"/>
  <c r="J42" i="2"/>
  <c r="M22" i="7"/>
  <c r="L20" i="2"/>
  <c r="L19" i="2"/>
  <c r="L33" i="2"/>
  <c r="L6" i="2"/>
  <c r="K43" i="2"/>
  <c r="K42" i="2"/>
  <c r="N22" i="7"/>
  <c r="F41" i="7"/>
  <c r="H41" i="7"/>
  <c r="I41" i="7"/>
  <c r="H40" i="7"/>
  <c r="F17" i="7"/>
  <c r="F18" i="7"/>
  <c r="F19" i="7"/>
  <c r="F20" i="7"/>
  <c r="F21" i="7"/>
  <c r="G17" i="7"/>
  <c r="G18" i="7"/>
  <c r="G19" i="7"/>
  <c r="G20" i="7"/>
  <c r="G21" i="7"/>
  <c r="H17" i="7"/>
  <c r="H18" i="7"/>
  <c r="H19" i="7"/>
  <c r="H20" i="7"/>
  <c r="H21" i="7"/>
  <c r="I17" i="7"/>
  <c r="I18" i="7"/>
  <c r="I19" i="7"/>
  <c r="I20" i="7"/>
  <c r="I21" i="7"/>
  <c r="J17" i="7"/>
  <c r="J18" i="7"/>
  <c r="J19" i="7"/>
  <c r="J20" i="7"/>
  <c r="J21" i="7"/>
  <c r="K17" i="7"/>
  <c r="K18" i="7"/>
  <c r="K19" i="7"/>
  <c r="K20" i="7"/>
  <c r="K21" i="7"/>
  <c r="L17" i="7"/>
  <c r="L18" i="7"/>
  <c r="L19" i="7"/>
  <c r="L20" i="7"/>
  <c r="L21" i="7"/>
  <c r="M17" i="7"/>
  <c r="M18" i="7"/>
  <c r="M19" i="7"/>
  <c r="M20" i="7"/>
  <c r="M21" i="7"/>
  <c r="N17" i="7"/>
  <c r="N18" i="7"/>
  <c r="N19" i="7"/>
  <c r="N20" i="7"/>
  <c r="N21" i="7"/>
  <c r="F39" i="7"/>
  <c r="I40" i="7"/>
  <c r="B8" i="2"/>
  <c r="E39" i="7"/>
  <c r="H39" i="7"/>
  <c r="I39" i="7"/>
  <c r="C44" i="2"/>
  <c r="C45" i="2"/>
  <c r="D35" i="2"/>
  <c r="D11" i="2"/>
  <c r="C46" i="2"/>
  <c r="C47" i="2"/>
  <c r="C53" i="2"/>
  <c r="D44" i="2"/>
  <c r="D45" i="2"/>
  <c r="E35" i="2"/>
  <c r="E11" i="2"/>
  <c r="D46" i="2"/>
  <c r="D47" i="2"/>
  <c r="D53" i="2"/>
  <c r="E44" i="2"/>
  <c r="E45" i="2"/>
  <c r="F35" i="2"/>
  <c r="F11" i="2"/>
  <c r="E46" i="2"/>
  <c r="E47" i="2"/>
  <c r="E53" i="2"/>
  <c r="F44" i="2"/>
  <c r="F45" i="2"/>
  <c r="G35" i="2"/>
  <c r="G11" i="2"/>
  <c r="F46" i="2"/>
  <c r="F47" i="2"/>
  <c r="F53" i="2"/>
  <c r="G44" i="2"/>
  <c r="G45" i="2"/>
  <c r="H35" i="2"/>
  <c r="H11" i="2"/>
  <c r="G46" i="2"/>
  <c r="G47" i="2"/>
  <c r="G53" i="2"/>
  <c r="H44" i="2"/>
  <c r="H45" i="2"/>
  <c r="I35" i="2"/>
  <c r="I11" i="2"/>
  <c r="H46" i="2"/>
  <c r="H47" i="2"/>
  <c r="H53" i="2"/>
  <c r="I44" i="2"/>
  <c r="I45" i="2"/>
  <c r="J35" i="2"/>
  <c r="J11" i="2"/>
  <c r="I46" i="2"/>
  <c r="I47" i="2"/>
  <c r="I53" i="2"/>
  <c r="J44" i="2"/>
  <c r="J45" i="2"/>
  <c r="K35" i="2"/>
  <c r="K11" i="2"/>
  <c r="J46" i="2"/>
  <c r="J47" i="2"/>
  <c r="J53" i="2"/>
  <c r="L34" i="2"/>
  <c r="L7" i="2"/>
  <c r="K44" i="2"/>
  <c r="L15" i="2"/>
  <c r="L8" i="2"/>
  <c r="L10" i="2"/>
  <c r="K45" i="2"/>
  <c r="L35" i="2"/>
  <c r="L11" i="2"/>
  <c r="K46" i="2"/>
  <c r="K47" i="2"/>
  <c r="K53" i="2"/>
  <c r="B21" i="3"/>
  <c r="C37" i="2"/>
  <c r="C39" i="2"/>
  <c r="C40" i="2"/>
  <c r="C51" i="2"/>
  <c r="D37" i="2"/>
  <c r="D39" i="2"/>
  <c r="D40" i="2"/>
  <c r="D51" i="2"/>
  <c r="E37" i="2"/>
  <c r="E39" i="2"/>
  <c r="E40" i="2"/>
  <c r="E51" i="2"/>
  <c r="F37" i="2"/>
  <c r="F39" i="2"/>
  <c r="F40" i="2"/>
  <c r="F51" i="2"/>
  <c r="G37" i="2"/>
  <c r="G39" i="2"/>
  <c r="G40" i="2"/>
  <c r="G51" i="2"/>
  <c r="H37" i="2"/>
  <c r="H39" i="2"/>
  <c r="H40" i="2"/>
  <c r="H51" i="2"/>
  <c r="I37" i="2"/>
  <c r="I39" i="2"/>
  <c r="I40" i="2"/>
  <c r="I51" i="2"/>
  <c r="J37" i="2"/>
  <c r="J39" i="2"/>
  <c r="J40" i="2"/>
  <c r="J51" i="2"/>
  <c r="K51" i="2"/>
  <c r="B13" i="3"/>
  <c r="F35" i="7"/>
  <c r="H35" i="7"/>
  <c r="I35" i="7"/>
  <c r="G12" i="7"/>
  <c r="G13" i="7"/>
  <c r="H12" i="7"/>
  <c r="H13" i="7"/>
  <c r="H15" i="7"/>
  <c r="I12" i="7"/>
  <c r="I13" i="7"/>
  <c r="I15" i="7"/>
  <c r="J12" i="7"/>
  <c r="J13" i="7"/>
  <c r="J15" i="7"/>
  <c r="K12" i="7"/>
  <c r="K13" i="7"/>
  <c r="K15" i="7"/>
  <c r="L12" i="7"/>
  <c r="L13" i="7"/>
  <c r="L15" i="7"/>
  <c r="M12" i="7"/>
  <c r="M13" i="7"/>
  <c r="M15" i="7"/>
  <c r="N12" i="7"/>
  <c r="N13" i="7"/>
  <c r="N15" i="7"/>
  <c r="G15" i="7"/>
  <c r="F36" i="7"/>
  <c r="G36" i="7"/>
  <c r="H36" i="7"/>
  <c r="I36" i="7"/>
  <c r="E34" i="7"/>
  <c r="B49" i="2"/>
  <c r="E49" i="1"/>
  <c r="B21" i="2"/>
  <c r="B37" i="2"/>
  <c r="B39" i="2"/>
  <c r="B40" i="2"/>
  <c r="B51" i="2"/>
  <c r="F34" i="7"/>
  <c r="H34" i="7"/>
  <c r="I34" i="7"/>
  <c r="K60" i="2"/>
  <c r="B24" i="2"/>
  <c r="B25" i="2"/>
  <c r="K59" i="2"/>
  <c r="E33" i="7"/>
  <c r="H33" i="7"/>
  <c r="I33" i="7"/>
  <c r="G9" i="8"/>
  <c r="J9" i="8"/>
  <c r="K9" i="8"/>
  <c r="G5" i="8"/>
  <c r="J5" i="8"/>
  <c r="K5" i="8"/>
  <c r="K61" i="2"/>
  <c r="K62" i="2"/>
  <c r="K65" i="2"/>
  <c r="K66" i="2"/>
  <c r="K71" i="2"/>
  <c r="K72" i="2"/>
  <c r="K79" i="2"/>
  <c r="K81" i="2"/>
  <c r="K82" i="2"/>
  <c r="K85" i="2"/>
  <c r="K86" i="2"/>
  <c r="K89" i="2"/>
  <c r="K91" i="2"/>
  <c r="K92" i="2"/>
  <c r="K95" i="2"/>
  <c r="K96" i="2"/>
  <c r="B22" i="3"/>
  <c r="B14" i="3"/>
  <c r="L22" i="2"/>
  <c r="B29" i="2"/>
  <c r="B30" i="2"/>
  <c r="B43" i="2"/>
  <c r="B42" i="2"/>
  <c r="B31" i="2"/>
  <c r="D13" i="2"/>
  <c r="E13" i="2"/>
  <c r="F13" i="2"/>
  <c r="G13" i="2"/>
  <c r="H13" i="2"/>
  <c r="I13" i="2"/>
  <c r="J13" i="2"/>
  <c r="K13" i="2"/>
  <c r="L13" i="2"/>
  <c r="K23" i="2"/>
  <c r="K24" i="2"/>
  <c r="K25" i="2"/>
  <c r="L12" i="2"/>
  <c r="B45" i="2"/>
  <c r="B46" i="2"/>
  <c r="B44" i="2"/>
  <c r="B47" i="2"/>
  <c r="C13" i="2"/>
  <c r="C22" i="2"/>
  <c r="B35" i="1"/>
  <c r="B8" i="1"/>
  <c r="E1" i="1"/>
  <c r="G15" i="3"/>
  <c r="B16" i="3"/>
  <c r="B24" i="3"/>
  <c r="B12" i="3"/>
  <c r="B7" i="3"/>
  <c r="B6" i="3"/>
  <c r="B5" i="3"/>
  <c r="L17" i="2"/>
  <c r="L38" i="2"/>
  <c r="K17" i="2"/>
  <c r="J17" i="2"/>
  <c r="I17" i="2"/>
  <c r="H17" i="2"/>
  <c r="G17" i="2"/>
  <c r="F17" i="2"/>
  <c r="E17" i="2"/>
  <c r="D17" i="2"/>
  <c r="C17" i="2"/>
  <c r="L23" i="2"/>
  <c r="L28" i="2"/>
  <c r="B17" i="2"/>
  <c r="B41" i="1"/>
  <c r="B45" i="1"/>
  <c r="B11" i="1"/>
  <c r="B8" i="3"/>
  <c r="E11" i="1"/>
  <c r="B22" i="1"/>
  <c r="B30" i="1"/>
  <c r="B46" i="1"/>
  <c r="E30" i="1"/>
  <c r="E32" i="1"/>
  <c r="E33" i="1"/>
  <c r="L21" i="2"/>
  <c r="L27" i="2"/>
  <c r="L24" i="2"/>
  <c r="L25" i="2"/>
  <c r="D31" i="2"/>
  <c r="L37" i="2"/>
  <c r="L39" i="2"/>
  <c r="L40" i="2"/>
  <c r="B15" i="3"/>
  <c r="B17" i="3"/>
  <c r="C31" i="2"/>
  <c r="B53" i="2"/>
  <c r="K31" i="2"/>
  <c r="J31" i="2"/>
  <c r="I31" i="2"/>
  <c r="H31" i="2"/>
  <c r="G31" i="2"/>
  <c r="F31" i="2"/>
  <c r="E31" i="2"/>
  <c r="B23" i="3"/>
  <c r="B25" i="3"/>
  <c r="G14" i="3"/>
  <c r="L29" i="2"/>
  <c r="L30" i="2"/>
  <c r="L31" i="2"/>
</calcChain>
</file>

<file path=xl/comments1.xml><?xml version="1.0" encoding="utf-8"?>
<comments xmlns="http://schemas.openxmlformats.org/spreadsheetml/2006/main">
  <authors>
    <author>Microsoft Office User</author>
  </authors>
  <commentList>
    <comment ref="E4" authorId="0" shapeId="0">
      <text>
        <r>
          <rPr>
            <b/>
            <sz val="10"/>
            <color indexed="81"/>
            <rFont val="Calibri"/>
            <family val="2"/>
          </rPr>
          <t>Microsoft Office User:</t>
        </r>
        <r>
          <rPr>
            <sz val="10"/>
            <color indexed="81"/>
            <rFont val="Calibri"/>
            <family val="2"/>
          </rPr>
          <t xml:space="preserve">
I have this last traded at 1.60 
 I took this figure from the following site:
http://www.tradingeconomics.com/united-kingdom/government-bond-yield </t>
        </r>
      </text>
    </comment>
    <comment ref="E5" authorId="0" shapeId="0">
      <text>
        <r>
          <rPr>
            <b/>
            <sz val="10"/>
            <color indexed="81"/>
            <rFont val="Calibri"/>
            <family val="2"/>
          </rPr>
          <t>http://markets.ft.com/research/Markets/Tearsheets/Financials?s=GLEN:LSE
Accordng to the FT the return on equity for Glencore at the end of December 2014 was -0.19% 
That means the equity risk premium equals -1.79%</t>
        </r>
      </text>
    </comment>
    <comment ref="B7" authorId="0" shapeId="0">
      <text>
        <r>
          <rPr>
            <b/>
            <sz val="10"/>
            <color indexed="81"/>
            <rFont val="Calibri"/>
            <family val="2"/>
          </rPr>
          <t>Microsoft Office User:</t>
        </r>
        <r>
          <rPr>
            <sz val="10"/>
            <color indexed="81"/>
            <rFont val="Calibri"/>
            <family val="2"/>
          </rPr>
          <t xml:space="preserve">
There is no forward annual dividend rate</t>
        </r>
      </text>
    </comment>
    <comment ref="A12" authorId="0" shapeId="0">
      <text>
        <r>
          <rPr>
            <b/>
            <sz val="10"/>
            <color indexed="81"/>
            <rFont val="Calibri"/>
            <family val="2"/>
          </rPr>
          <t>Microsoft Office User:
Beta is 1.71</t>
        </r>
        <r>
          <rPr>
            <sz val="10"/>
            <color indexed="81"/>
            <rFont val="Calibri"/>
            <family val="2"/>
          </rPr>
          <t xml:space="preserve">
According to Reuters
http://www.reuters.com/finance/stocks/financialHighlights?symbol=GLEN.L</t>
        </r>
      </text>
    </comment>
    <comment ref="B32" authorId="0" shapeId="0">
      <text>
        <r>
          <rPr>
            <b/>
            <sz val="10"/>
            <color indexed="81"/>
            <rFont val="Calibri"/>
            <family val="2"/>
          </rPr>
          <t>Microsoft Office User:</t>
        </r>
        <r>
          <rPr>
            <sz val="10"/>
            <color indexed="81"/>
            <rFont val="Calibri"/>
            <family val="2"/>
          </rPr>
          <t xml:space="preserve">
The data from yahoo finance doesn't add up. More than one report states that current liabilities for 2014 amounted to 43.947. Even Yahoo states that current liabilities amounts to that much but their figures for accound payable, short term debt and other current liabilities add up to 84.635 which is incorrect. 
I have therefore taken these figures from investing.com as they are correct</t>
        </r>
      </text>
    </comment>
    <comment ref="B43" authorId="0" shapeId="0">
      <text>
        <r>
          <rPr>
            <b/>
            <sz val="10"/>
            <color indexed="81"/>
            <rFont val="Calibri"/>
            <family val="2"/>
          </rPr>
          <t>Microsoft Office User:</t>
        </r>
        <r>
          <rPr>
            <sz val="10"/>
            <color indexed="81"/>
            <rFont val="Calibri"/>
            <family val="2"/>
          </rPr>
          <t xml:space="preserve">
Yahoo did not provide the figure for stockholder's equity so I took this from FT.com
http://markets.ft.com/research/Markets/Tearsheets/Financials?s=GLEN:LSE&amp;subview=BalanceSheet </t>
        </r>
      </text>
    </comment>
  </commentList>
</comments>
</file>

<file path=xl/sharedStrings.xml><?xml version="1.0" encoding="utf-8"?>
<sst xmlns="http://schemas.openxmlformats.org/spreadsheetml/2006/main" count="253" uniqueCount="199">
  <si>
    <t>Vodafone PLC Valuation</t>
  </si>
  <si>
    <t>Ticker:</t>
  </si>
  <si>
    <t>Current stock price:</t>
  </si>
  <si>
    <t>Beta</t>
  </si>
  <si>
    <t>Shares outstanding</t>
  </si>
  <si>
    <t>Equity market capitalization</t>
  </si>
  <si>
    <t>Risk free rate (10 year Treasury)</t>
  </si>
  <si>
    <t>Cost of equity</t>
  </si>
  <si>
    <t>Cash, cash equivalents, and short term investments</t>
  </si>
  <si>
    <t>Net receivables</t>
  </si>
  <si>
    <t>Inventory</t>
  </si>
  <si>
    <t>Other current assets</t>
  </si>
  <si>
    <t xml:space="preserve">  Total current assets</t>
  </si>
  <si>
    <t>Long term investments</t>
  </si>
  <si>
    <t>Property, plant, and equipment</t>
  </si>
  <si>
    <t>Other assets</t>
  </si>
  <si>
    <t xml:space="preserve">  Total long term assets</t>
  </si>
  <si>
    <t>Total assets</t>
  </si>
  <si>
    <t>Goodwill and intangible assets</t>
  </si>
  <si>
    <t>Accounts payable</t>
  </si>
  <si>
    <t>Short term debt</t>
  </si>
  <si>
    <t>Other current liabilities</t>
  </si>
  <si>
    <t xml:space="preserve">  Total current liabilities</t>
  </si>
  <si>
    <t>Long term debt</t>
  </si>
  <si>
    <t>Other liabilities</t>
  </si>
  <si>
    <t>Deferred long term liabilities</t>
  </si>
  <si>
    <t>Minority interest</t>
  </si>
  <si>
    <t xml:space="preserve">  Total long term liablitieis</t>
  </si>
  <si>
    <t>Stockholders' equity</t>
  </si>
  <si>
    <t>Total liabilities &amp; equity</t>
  </si>
  <si>
    <t>Stock price date</t>
  </si>
  <si>
    <t>Sales</t>
  </si>
  <si>
    <t>Earnings before interest and taxes</t>
  </si>
  <si>
    <t>Interest expense, net</t>
  </si>
  <si>
    <t>Income before taxation</t>
  </si>
  <si>
    <t>Tax expense</t>
  </si>
  <si>
    <t>Net income from continuing operations</t>
  </si>
  <si>
    <t>Non-recurrent income (loss)</t>
  </si>
  <si>
    <t>Preferred stock dividends</t>
  </si>
  <si>
    <t>Net income available to common stock</t>
  </si>
  <si>
    <t>Diluted earnings per share</t>
  </si>
  <si>
    <t>Forward annual dividend rate</t>
  </si>
  <si>
    <t>Dividend yield</t>
  </si>
  <si>
    <t>Data source: Yahoo!Finance under COMPANY &gt;  Key Statistics</t>
  </si>
  <si>
    <t>Data source: Yahoo!Finance underFINANCIALS  &gt; Balance Sheet</t>
  </si>
  <si>
    <t>Balance sheet data for most recent fiscal year end</t>
  </si>
  <si>
    <t>Check (assets - liabilities and equity)</t>
  </si>
  <si>
    <t>Income statement, fiscal year ended</t>
  </si>
  <si>
    <t>Data source: Yahoo!Finance under FINANCIALS  &gt; Income Statement</t>
  </si>
  <si>
    <t>Net income as a % of sales</t>
  </si>
  <si>
    <t>Tax rate</t>
  </si>
  <si>
    <t>Analyst Estimate Data</t>
  </si>
  <si>
    <t>Current Year End</t>
  </si>
  <si>
    <t>EPS Average estimate</t>
  </si>
  <si>
    <t>Revenue Estimate</t>
  </si>
  <si>
    <t>Next Year End</t>
  </si>
  <si>
    <t>Revenue estimate</t>
  </si>
  <si>
    <t>Data source: Yahoo!Finance under ANALYST COVERAGE  &gt; Estimates</t>
  </si>
  <si>
    <t>Next 5 years growth rate (per annum)</t>
  </si>
  <si>
    <t>NOPAT</t>
  </si>
  <si>
    <t>NOPAT Margin</t>
  </si>
  <si>
    <t>Equity risk premium (Historical average assumed)</t>
  </si>
  <si>
    <t>Net debt</t>
  </si>
  <si>
    <t>Net interest cost</t>
  </si>
  <si>
    <t>Cost of debt, pre tax</t>
  </si>
  <si>
    <t>Cost of debt, after tax</t>
  </si>
  <si>
    <t>Capital Structure Costs</t>
  </si>
  <si>
    <t>Fiscal year ending</t>
  </si>
  <si>
    <t>Net working capital</t>
  </si>
  <si>
    <t>Long term assets</t>
  </si>
  <si>
    <t xml:space="preserve">  Net operating assets</t>
  </si>
  <si>
    <t>Other long term liabilities</t>
  </si>
  <si>
    <t>Shareholders' equity</t>
  </si>
  <si>
    <t xml:space="preserve">  Net capital</t>
  </si>
  <si>
    <t>Current year estimated net income</t>
  </si>
  <si>
    <t>Net debt % Net capital</t>
  </si>
  <si>
    <t>Income Statement, Year ending</t>
  </si>
  <si>
    <t>Net Income to Common</t>
  </si>
  <si>
    <t>Estimated tax rate</t>
  </si>
  <si>
    <t>After tax interest expense</t>
  </si>
  <si>
    <t>Working capital % Sales</t>
  </si>
  <si>
    <t>Long term assets % Sales</t>
  </si>
  <si>
    <t>Next year estimated net incom</t>
  </si>
  <si>
    <t>Dividend payout rate</t>
  </si>
  <si>
    <t>Retained income</t>
  </si>
  <si>
    <t>Other long term liabilities % Sales</t>
  </si>
  <si>
    <t>Dividends paid</t>
  </si>
  <si>
    <t>Cost of debt, pretax</t>
  </si>
  <si>
    <t>Growth rate</t>
  </si>
  <si>
    <t>Growth Rate</t>
  </si>
  <si>
    <t>Return on equity</t>
  </si>
  <si>
    <t xml:space="preserve"> Abnormal ROE</t>
  </si>
  <si>
    <t xml:space="preserve"> Abnormal Earnings</t>
  </si>
  <si>
    <t>Net income</t>
  </si>
  <si>
    <t>(Increase) / Decrease in net working capital</t>
  </si>
  <si>
    <t>(Increase) / Decrease in long term assets</t>
  </si>
  <si>
    <t>Increase / (Decrease) in net debt</t>
  </si>
  <si>
    <t>Increase / (Decrease) in other liabilities</t>
  </si>
  <si>
    <t xml:space="preserve">  Free cash flow to equity</t>
  </si>
  <si>
    <t>Terminal value calculations</t>
  </si>
  <si>
    <t>Competitive equilibrium assumption</t>
  </si>
  <si>
    <t>NO abnormal returns and hence no terminal value</t>
  </si>
  <si>
    <t>Terminal value</t>
  </si>
  <si>
    <t>Competitive equilibrium assumption only on incremental sales</t>
  </si>
  <si>
    <t>Abnormal earnings in terminal year remain constant forever</t>
  </si>
  <si>
    <t>Persistent abnormal performance and growth</t>
  </si>
  <si>
    <t>Abnormal earnings and growth can be sustained forever</t>
  </si>
  <si>
    <t>Sustained growth rate</t>
  </si>
  <si>
    <t>Discount factor</t>
  </si>
  <si>
    <t>Abnormal earnings present value</t>
  </si>
  <si>
    <t>Free cash flow to equity present value</t>
  </si>
  <si>
    <t>Beginning shareholders' equity</t>
  </si>
  <si>
    <t>Per share value</t>
  </si>
  <si>
    <t>Required return on equity</t>
  </si>
  <si>
    <t>Constant dividend growth rate</t>
  </si>
  <si>
    <t>Current year dividend per share</t>
  </si>
  <si>
    <t>Abnormal Earnings Growth Model</t>
  </si>
  <si>
    <t>Present value of forecast period abnormal earnings</t>
  </si>
  <si>
    <t>Terminal Value - average of three methods</t>
  </si>
  <si>
    <t>Total equity value</t>
  </si>
  <si>
    <t>Free Cash Flow to Equity Model</t>
  </si>
  <si>
    <t>Present value of forecast period free cash flow to equity</t>
  </si>
  <si>
    <t>DDM Value per share</t>
  </si>
  <si>
    <t>Valuation Summary</t>
  </si>
  <si>
    <t>Average Value</t>
  </si>
  <si>
    <t>Current stock price</t>
  </si>
  <si>
    <t>Financial Analysis and Valuation</t>
  </si>
  <si>
    <t>This template will form the basis for the financial valuation of a company of your choice.  The template uses Vodafone PLC as the target company for purposes of demonstrating the use of the model.</t>
  </si>
  <si>
    <t>An important data source for company specific information is Yahoo!Finance.  Students should familiarize themselves with the extensive data available on Yahoo!Finance (or other sites like FT.COM, Google Finance, DailyFinance, etc.).  The template specifies the Yahoo!Finance pages from which information can be retrieved.</t>
  </si>
  <si>
    <t>Spreadsheet cells with green text require input.</t>
  </si>
  <si>
    <t>Spreadsheet cells with black text are generally calculated.</t>
  </si>
  <si>
    <t>Calculations required for other tabs in the spreadsheet</t>
  </si>
  <si>
    <t>The Inputs tab is where most assumption data must be entered.</t>
  </si>
  <si>
    <t>Balance sheet at beginning of fiscal year</t>
  </si>
  <si>
    <t>NM</t>
  </si>
  <si>
    <t>Abnormal Earnings Terminal Value</t>
  </si>
  <si>
    <t>Present Value of  Abnormal earnings terminal value</t>
  </si>
  <si>
    <t>Final Year Abnormal Earnings</t>
  </si>
  <si>
    <t>Final year Free cash flow to equity</t>
  </si>
  <si>
    <t>Free cash flow terminal value</t>
  </si>
  <si>
    <t>Present value of free cash flow to equity terminal value</t>
  </si>
  <si>
    <t>Note: Column necessary to calculate free cash flow to equity for final year</t>
  </si>
  <si>
    <t>The Forecasts tab is generally calculated, but there are a number of forecast assumptions that may be adjusted as appropriate.</t>
  </si>
  <si>
    <t>The valuation summary tab provides the equity valuation summary.</t>
  </si>
  <si>
    <t>The base model applies excess cash flow to debt reduction, as indicated by a 0 in the box to the right</t>
  </si>
  <si>
    <t>TO CHANGE THAT ASSUMPTION TO A CONSTANT DEBT RATIO, Enter 1 in the box to the right.  Excess cash flow is then allocated to repurchasing stock in the future.</t>
  </si>
  <si>
    <t>Financial valuation template for Students.</t>
  </si>
  <si>
    <t>GLEN</t>
  </si>
  <si>
    <t xml:space="preserve">Calculations to include all scenarios possible by using abnormal earnings methodology </t>
  </si>
  <si>
    <t>Equity value estimate and asset value estimate based on week 4's projections and the terminal value estimated this week (table 8-6 p. 346)</t>
  </si>
  <si>
    <t xml:space="preserve">Write a brief written summeary of 2-3 pages, describing and justifying the methods you used in estimated terminal value and details your assumptions </t>
  </si>
  <si>
    <t xml:space="preserve">In a table, summaries the terminal values that you will use in your finaal valuation analysis and that were incorporated in the spreadsheet used in previous weeks </t>
  </si>
  <si>
    <t xml:space="preserve">Equity Valuation </t>
  </si>
  <si>
    <t xml:space="preserve">Abnormal earnings </t>
  </si>
  <si>
    <t xml:space="preserve">Abnormal ROE </t>
  </si>
  <si>
    <t xml:space="preserve">Free Cash flow to equity </t>
  </si>
  <si>
    <t xml:space="preserve">Abnormal earnings growth </t>
  </si>
  <si>
    <t xml:space="preserve">Asset Valuation </t>
  </si>
  <si>
    <t>Abnormal NOPAT</t>
  </si>
  <si>
    <t>Abnormal ROA</t>
  </si>
  <si>
    <t xml:space="preserve">Free cash flow from operations </t>
  </si>
  <si>
    <t xml:space="preserve">Abnormal NOPAT growth </t>
  </si>
  <si>
    <t xml:space="preserve">Terminal Values for Glencore under various assumptions using abnormal earnings methodology </t>
  </si>
  <si>
    <t>Scenario</t>
  </si>
  <si>
    <t>Scenario No.</t>
  </si>
  <si>
    <t>Abnormal retrun on constant sales (Real terms)</t>
  </si>
  <si>
    <t>Abnormal retrun on constant sales (Nominal terms)</t>
  </si>
  <si>
    <t>NA</t>
  </si>
  <si>
    <t>Final Year Adjusted FCFE</t>
  </si>
  <si>
    <t>Growth rate after adjusting for 4% inflation</t>
  </si>
  <si>
    <t>DDM Valuation based on all terminal value</t>
  </si>
  <si>
    <t>Terminal value - average</t>
  </si>
  <si>
    <t>.</t>
  </si>
  <si>
    <t>Begninning book value</t>
  </si>
  <si>
    <t>Value from the forecast period</t>
  </si>
  <si>
    <t>Value beyond forecast horizon</t>
  </si>
  <si>
    <t>Total value</t>
  </si>
  <si>
    <t>Value per share</t>
  </si>
  <si>
    <t>Beginning book value</t>
  </si>
  <si>
    <t>There is increasing demand for the product the growth rate in sales is expected to grow at 6% annually and will have a stable growth rate of 2% and the same is expected from the net income</t>
  </si>
  <si>
    <t>There is no change in the sales growth but there is significant improvement in the production process that improves the net income of the company and the growth in net income is at -12%</t>
  </si>
  <si>
    <t>Abnormal earnings growth</t>
  </si>
  <si>
    <t>Present value factor</t>
  </si>
  <si>
    <t>Re * BE</t>
  </si>
  <si>
    <t>ROA</t>
  </si>
  <si>
    <t>PV factor</t>
  </si>
  <si>
    <t>PV</t>
  </si>
  <si>
    <t>WACC*NOPAT</t>
  </si>
  <si>
    <t>Terminal Values for Glencore under various assumptions using abnormal earnings methodology.</t>
  </si>
  <si>
    <t>Approach</t>
  </si>
  <si>
    <t>Terminal sales growth</t>
  </si>
  <si>
    <t>Terminal NOPAT margin</t>
  </si>
  <si>
    <t xml:space="preserve">Value beyond the forect horizon </t>
  </si>
  <si>
    <t>It is assumed that the growth rate will continue to be at -25% as there will be continuation in future.</t>
  </si>
  <si>
    <t>Presistent abnormal performance</t>
  </si>
  <si>
    <t>Long-term inflation rate is assumed to be 4% that will result sales growth rate of -21% (-25%+4%). In this case all other variables are assumed to remain constant except for change in growth rate.</t>
  </si>
  <si>
    <t>In this case, the growth rate is assumed to be at zero percent based on which NOPAT and terminal value is determined.</t>
  </si>
  <si>
    <t>There will be no terminal value in this scenario as they company will maintain competitive equilibrium.</t>
  </si>
  <si>
    <t xml:space="preserve">Competitive equilibrium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</si>
</sst>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_(&quot;$&quot;* #,##0.00_);_(&quot;$&quot;* \(#,##0.00\);_(&quot;$&quot;* &quot;-&quot;??_);_(@_)"/>
    <numFmt numFmtId="165" formatCode="_(* #,##0.00_);_(* \(#,##0.00\);_(* &quot;-&quot;??_);_(@_)"/>
    <numFmt numFmtId="166" formatCode="_(* #,##0_);_(* \(#,##0\);_(* &quot;-&quot;??_);_(@_)"/>
    <numFmt numFmtId="167" formatCode="_(&quot;$&quot;* #,##0_);_(&quot;$&quot;* \(#,##0\);_(&quot;$&quot;* &quot;-&quot;??_);_(@_)"/>
    <numFmt numFmtId="168" formatCode="0.0%"/>
    <numFmt numFmtId="169" formatCode="_(* #,##0.000_);_(* \(#,##0.000\);_(* &quot;-&quot;??_);_(@_)"/>
    <numFmt numFmtId="170" formatCode="_-[$£-809]* #,##0.00_-;\-[$£-809]* #,##0.00_-;_-[$£-809]* &quot;-&quot;??_-;_-@_-"/>
    <numFmt numFmtId="171" formatCode="0.0000%"/>
    <numFmt numFmtId="172" formatCode="_(&quot;$&quot;* #,##0.0000_);_(&quot;$&quot;* \(#,##0.0000\);_(&quot;$&quot;* &quot;-&quot;??_);_(@_)"/>
    <numFmt numFmtId="173" formatCode="0.00000"/>
  </numFmts>
  <fonts count="15" x14ac:knownFonts="1">
    <font>
      <sz val="11"/>
      <color theme="1"/>
      <name val="Calibri"/>
      <family val="2"/>
      <scheme val="minor"/>
    </font>
    <font>
      <sz val="11"/>
      <color theme="1"/>
      <name val="Calibri"/>
      <family val="2"/>
      <scheme val="minor"/>
    </font>
    <font>
      <b/>
      <sz val="11"/>
      <color theme="1"/>
      <name val="Calibri"/>
      <family val="2"/>
      <scheme val="minor"/>
    </font>
    <font>
      <sz val="11"/>
      <color theme="6" tint="-0.499984740745262"/>
      <name val="Calibri"/>
      <family val="2"/>
      <scheme val="minor"/>
    </font>
    <font>
      <sz val="11"/>
      <name val="Calibri"/>
      <family val="2"/>
      <scheme val="minor"/>
    </font>
    <font>
      <b/>
      <i/>
      <sz val="11"/>
      <color theme="1"/>
      <name val="Calibri"/>
      <family val="2"/>
      <scheme val="minor"/>
    </font>
    <font>
      <sz val="8"/>
      <color theme="1"/>
      <name val="Calibri"/>
      <family val="2"/>
      <scheme val="minor"/>
    </font>
    <font>
      <b/>
      <i/>
      <sz val="11"/>
      <color theme="6" tint="-0.499984740745262"/>
      <name val="Calibri"/>
      <family val="2"/>
      <scheme val="minor"/>
    </font>
    <font>
      <sz val="10"/>
      <color indexed="81"/>
      <name val="Calibri"/>
      <family val="2"/>
    </font>
    <font>
      <b/>
      <sz val="10"/>
      <color indexed="81"/>
      <name val="Calibri"/>
      <family val="2"/>
    </font>
    <font>
      <b/>
      <sz val="11"/>
      <color theme="6" tint="-0.499984740745262"/>
      <name val="Calibri"/>
      <family val="2"/>
      <scheme val="minor"/>
    </font>
    <font>
      <sz val="11"/>
      <color rgb="FFFF0000"/>
      <name val="Calibri"/>
      <family val="2"/>
      <scheme val="minor"/>
    </font>
    <font>
      <b/>
      <sz val="11"/>
      <color rgb="FFFF0000"/>
      <name val="Calibri"/>
      <family val="2"/>
      <scheme val="minor"/>
    </font>
    <font>
      <u/>
      <sz val="11"/>
      <color theme="1"/>
      <name val="Calibri"/>
      <family val="2"/>
      <scheme val="minor"/>
    </font>
    <font>
      <b/>
      <u/>
      <sz val="11"/>
      <color theme="1"/>
      <name val="Calibri"/>
      <family val="2"/>
      <scheme val="minor"/>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double">
        <color auto="1"/>
      </bottom>
      <diagonal/>
    </border>
    <border>
      <left/>
      <right/>
      <top style="thin">
        <color auto="1"/>
      </top>
      <bottom style="thin">
        <color auto="1"/>
      </bottom>
      <diagonal/>
    </border>
    <border>
      <left/>
      <right/>
      <top style="thin">
        <color auto="1"/>
      </top>
      <bottom style="double">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thin">
        <color auto="1"/>
      </top>
      <bottom style="double">
        <color auto="1"/>
      </bottom>
      <diagonal/>
    </border>
    <border>
      <left style="thin">
        <color indexed="64"/>
      </left>
      <right style="thin">
        <color indexed="64"/>
      </right>
      <top style="thin">
        <color indexed="64"/>
      </top>
      <bottom style="thin">
        <color indexed="64"/>
      </bottom>
      <diagonal/>
    </border>
  </borders>
  <cellStyleXfs count="4">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cellStyleXfs>
  <cellXfs count="193">
    <xf numFmtId="0" fontId="0" fillId="0" borderId="0" xfId="0"/>
    <xf numFmtId="0" fontId="0" fillId="2" borderId="0" xfId="0" applyFill="1"/>
    <xf numFmtId="14" fontId="0" fillId="2" borderId="0" xfId="0" applyNumberFormat="1" applyFill="1"/>
    <xf numFmtId="167" fontId="0" fillId="2" borderId="0" xfId="2" applyNumberFormat="1" applyFont="1" applyFill="1"/>
    <xf numFmtId="0" fontId="3" fillId="2" borderId="0" xfId="0" applyFont="1" applyFill="1"/>
    <xf numFmtId="10" fontId="0" fillId="2" borderId="0" xfId="3" applyNumberFormat="1" applyFont="1" applyFill="1"/>
    <xf numFmtId="167" fontId="0" fillId="2" borderId="0" xfId="0" applyNumberFormat="1" applyFill="1"/>
    <xf numFmtId="0" fontId="0" fillId="2" borderId="3" xfId="0" applyFill="1" applyBorder="1"/>
    <xf numFmtId="164" fontId="3" fillId="2" borderId="4" xfId="2" applyFont="1" applyFill="1" applyBorder="1"/>
    <xf numFmtId="10" fontId="4" fillId="2" borderId="4" xfId="3" applyNumberFormat="1" applyFont="1" applyFill="1" applyBorder="1"/>
    <xf numFmtId="10" fontId="3" fillId="2" borderId="4" xfId="3" applyNumberFormat="1" applyFont="1" applyFill="1" applyBorder="1"/>
    <xf numFmtId="166" fontId="3" fillId="2" borderId="4" xfId="1" applyNumberFormat="1" applyFont="1" applyFill="1" applyBorder="1"/>
    <xf numFmtId="167" fontId="0" fillId="2" borderId="4" xfId="2" applyNumberFormat="1" applyFont="1" applyFill="1" applyBorder="1"/>
    <xf numFmtId="0" fontId="0" fillId="2" borderId="5" xfId="0" applyFill="1" applyBorder="1"/>
    <xf numFmtId="14" fontId="0" fillId="2" borderId="4" xfId="0" applyNumberFormat="1" applyFill="1" applyBorder="1"/>
    <xf numFmtId="167" fontId="0" fillId="2" borderId="4" xfId="0" applyNumberFormat="1" applyFill="1" applyBorder="1"/>
    <xf numFmtId="0" fontId="0" fillId="2" borderId="4" xfId="0" applyFill="1" applyBorder="1"/>
    <xf numFmtId="167" fontId="0" fillId="2" borderId="6" xfId="0" applyNumberFormat="1" applyFill="1" applyBorder="1"/>
    <xf numFmtId="0" fontId="5" fillId="2" borderId="3" xfId="0" applyFont="1" applyFill="1" applyBorder="1"/>
    <xf numFmtId="14" fontId="5" fillId="2" borderId="4" xfId="0" applyNumberFormat="1" applyFont="1" applyFill="1" applyBorder="1"/>
    <xf numFmtId="167" fontId="0" fillId="2" borderId="8" xfId="2" applyNumberFormat="1" applyFont="1" applyFill="1" applyBorder="1"/>
    <xf numFmtId="167" fontId="0" fillId="2" borderId="9" xfId="0" applyNumberFormat="1" applyFill="1" applyBorder="1"/>
    <xf numFmtId="0" fontId="6" fillId="2" borderId="5" xfId="0" applyFont="1" applyFill="1" applyBorder="1"/>
    <xf numFmtId="0" fontId="2" fillId="2" borderId="0" xfId="0" applyFont="1" applyFill="1"/>
    <xf numFmtId="14" fontId="2" fillId="2" borderId="0" xfId="0" applyNumberFormat="1" applyFont="1" applyFill="1"/>
    <xf numFmtId="0" fontId="5" fillId="2" borderId="0" xfId="0" applyFont="1" applyFill="1"/>
    <xf numFmtId="14" fontId="5" fillId="2" borderId="0" xfId="0" applyNumberFormat="1" applyFont="1" applyFill="1"/>
    <xf numFmtId="167" fontId="0" fillId="2" borderId="11" xfId="0" applyNumberFormat="1" applyFill="1" applyBorder="1"/>
    <xf numFmtId="167" fontId="3" fillId="2" borderId="4" xfId="2" applyNumberFormat="1" applyFont="1" applyFill="1" applyBorder="1"/>
    <xf numFmtId="14" fontId="7" fillId="2" borderId="4" xfId="0" applyNumberFormat="1" applyFont="1" applyFill="1" applyBorder="1"/>
    <xf numFmtId="168" fontId="0" fillId="2" borderId="0" xfId="3" applyNumberFormat="1" applyFont="1" applyFill="1"/>
    <xf numFmtId="0" fontId="0" fillId="2" borderId="0" xfId="0" applyFill="1" applyBorder="1"/>
    <xf numFmtId="164" fontId="0" fillId="2" borderId="4" xfId="2" applyFont="1" applyFill="1" applyBorder="1"/>
    <xf numFmtId="168" fontId="0" fillId="2" borderId="4" xfId="3" applyNumberFormat="1" applyFont="1" applyFill="1" applyBorder="1"/>
    <xf numFmtId="168" fontId="0" fillId="2" borderId="6" xfId="3" applyNumberFormat="1" applyFont="1" applyFill="1" applyBorder="1"/>
    <xf numFmtId="9" fontId="0" fillId="2" borderId="0" xfId="0" applyNumberFormat="1" applyFill="1"/>
    <xf numFmtId="168" fontId="0" fillId="2" borderId="0" xfId="0" applyNumberFormat="1" applyFill="1"/>
    <xf numFmtId="164" fontId="0" fillId="2" borderId="0" xfId="0" applyNumberFormat="1" applyFill="1"/>
    <xf numFmtId="0" fontId="0" fillId="2" borderId="1" xfId="0" applyFill="1" applyBorder="1"/>
    <xf numFmtId="10" fontId="0" fillId="2" borderId="9" xfId="3" applyNumberFormat="1" applyFont="1" applyFill="1" applyBorder="1"/>
    <xf numFmtId="14" fontId="0" fillId="2" borderId="3" xfId="0" applyNumberFormat="1" applyFill="1" applyBorder="1"/>
    <xf numFmtId="10" fontId="0" fillId="2" borderId="4" xfId="3" applyNumberFormat="1" applyFont="1" applyFill="1" applyBorder="1"/>
    <xf numFmtId="0" fontId="0" fillId="2" borderId="6" xfId="0" applyFill="1" applyBorder="1"/>
    <xf numFmtId="0" fontId="0" fillId="2" borderId="7" xfId="0" applyFill="1" applyBorder="1"/>
    <xf numFmtId="14" fontId="3" fillId="2" borderId="4" xfId="0" applyNumberFormat="1" applyFont="1" applyFill="1" applyBorder="1"/>
    <xf numFmtId="0" fontId="6" fillId="2" borderId="0" xfId="0" applyFont="1" applyFill="1"/>
    <xf numFmtId="10" fontId="0" fillId="2" borderId="0" xfId="0" applyNumberFormat="1" applyFill="1"/>
    <xf numFmtId="0" fontId="0" fillId="2" borderId="0" xfId="0" applyFont="1" applyFill="1"/>
    <xf numFmtId="0" fontId="0" fillId="2" borderId="13" xfId="0" applyFill="1" applyBorder="1"/>
    <xf numFmtId="167" fontId="0" fillId="2" borderId="13" xfId="0" applyNumberFormat="1" applyFill="1" applyBorder="1"/>
    <xf numFmtId="167" fontId="0" fillId="2" borderId="13" xfId="2" applyNumberFormat="1" applyFont="1" applyFill="1" applyBorder="1"/>
    <xf numFmtId="168" fontId="0" fillId="2" borderId="13" xfId="0" applyNumberFormat="1" applyFill="1" applyBorder="1"/>
    <xf numFmtId="14" fontId="5" fillId="2" borderId="13" xfId="0" applyNumberFormat="1" applyFont="1" applyFill="1" applyBorder="1"/>
    <xf numFmtId="9" fontId="0" fillId="2" borderId="13" xfId="0" applyNumberFormat="1" applyFill="1" applyBorder="1"/>
    <xf numFmtId="10" fontId="0" fillId="2" borderId="13" xfId="0" applyNumberFormat="1" applyFill="1" applyBorder="1"/>
    <xf numFmtId="168" fontId="0" fillId="2" borderId="13" xfId="3" applyNumberFormat="1" applyFont="1" applyFill="1" applyBorder="1"/>
    <xf numFmtId="10" fontId="0" fillId="2" borderId="13" xfId="3" applyNumberFormat="1" applyFont="1" applyFill="1" applyBorder="1"/>
    <xf numFmtId="0" fontId="0" fillId="2" borderId="0" xfId="0" applyFill="1" applyAlignment="1">
      <alignment horizontal="right"/>
    </xf>
    <xf numFmtId="169" fontId="0" fillId="2" borderId="0" xfId="1" applyNumberFormat="1" applyFont="1" applyFill="1"/>
    <xf numFmtId="166" fontId="0" fillId="2" borderId="0" xfId="1" applyNumberFormat="1" applyFont="1" applyFill="1"/>
    <xf numFmtId="166" fontId="0" fillId="2" borderId="0" xfId="0" applyNumberFormat="1" applyFill="1"/>
    <xf numFmtId="164" fontId="2" fillId="2" borderId="11" xfId="2" applyFont="1" applyFill="1" applyBorder="1"/>
    <xf numFmtId="164" fontId="0" fillId="2" borderId="6" xfId="0" applyNumberFormat="1" applyFill="1" applyBorder="1"/>
    <xf numFmtId="0" fontId="2" fillId="2" borderId="1" xfId="0" applyFont="1" applyFill="1" applyBorder="1"/>
    <xf numFmtId="164" fontId="2" fillId="2" borderId="2" xfId="2" applyFont="1" applyFill="1" applyBorder="1"/>
    <xf numFmtId="0" fontId="2" fillId="2" borderId="5" xfId="0" applyFont="1" applyFill="1" applyBorder="1"/>
    <xf numFmtId="164" fontId="2" fillId="2" borderId="6" xfId="0" applyNumberFormat="1" applyFont="1" applyFill="1" applyBorder="1"/>
    <xf numFmtId="0" fontId="0" fillId="2" borderId="0" xfId="0" applyFill="1" applyAlignment="1">
      <alignment wrapText="1"/>
    </xf>
    <xf numFmtId="0" fontId="4" fillId="2" borderId="0" xfId="0" applyFont="1" applyFill="1"/>
    <xf numFmtId="167" fontId="0" fillId="2" borderId="0" xfId="0" applyNumberFormat="1" applyFill="1" applyBorder="1"/>
    <xf numFmtId="164" fontId="0" fillId="2" borderId="4" xfId="0" applyNumberFormat="1" applyFill="1" applyBorder="1"/>
    <xf numFmtId="167" fontId="0" fillId="2" borderId="16" xfId="0" applyNumberFormat="1" applyFill="1" applyBorder="1"/>
    <xf numFmtId="0" fontId="0" fillId="2" borderId="16" xfId="0" applyFill="1" applyBorder="1"/>
    <xf numFmtId="0" fontId="0" fillId="2" borderId="10" xfId="0" applyFill="1" applyBorder="1"/>
    <xf numFmtId="0" fontId="0" fillId="2" borderId="10" xfId="0" applyFill="1" applyBorder="1" applyAlignment="1">
      <alignment horizontal="right"/>
    </xf>
    <xf numFmtId="164" fontId="0" fillId="2" borderId="8" xfId="2" applyFont="1" applyFill="1" applyBorder="1"/>
    <xf numFmtId="0" fontId="0" fillId="2" borderId="15" xfId="0" applyFill="1" applyBorder="1"/>
    <xf numFmtId="0" fontId="0" fillId="2" borderId="15" xfId="0" applyFill="1" applyBorder="1" applyAlignment="1">
      <alignment horizontal="right"/>
    </xf>
    <xf numFmtId="167" fontId="0" fillId="2" borderId="2" xfId="0" applyNumberFormat="1" applyFill="1" applyBorder="1"/>
    <xf numFmtId="0" fontId="0" fillId="2" borderId="0" xfId="0" applyFill="1" applyBorder="1" applyAlignment="1">
      <alignment horizontal="right"/>
    </xf>
    <xf numFmtId="10" fontId="0" fillId="2" borderId="4" xfId="0" applyNumberFormat="1" applyFill="1" applyBorder="1"/>
    <xf numFmtId="0" fontId="0" fillId="2" borderId="16" xfId="0" applyFill="1" applyBorder="1" applyAlignment="1">
      <alignment horizontal="right"/>
    </xf>
    <xf numFmtId="166" fontId="0" fillId="2" borderId="4" xfId="1" applyNumberFormat="1" applyFont="1" applyFill="1" applyBorder="1"/>
    <xf numFmtId="166" fontId="0" fillId="2" borderId="6" xfId="1" applyNumberFormat="1" applyFont="1" applyFill="1" applyBorder="1"/>
    <xf numFmtId="167" fontId="0" fillId="2" borderId="17" xfId="0" applyNumberFormat="1" applyFill="1" applyBorder="1"/>
    <xf numFmtId="167" fontId="0" fillId="2" borderId="0" xfId="0" applyNumberFormat="1" applyFill="1" applyAlignment="1">
      <alignment horizontal="right"/>
    </xf>
    <xf numFmtId="167" fontId="0" fillId="2" borderId="11" xfId="2" applyNumberFormat="1" applyFont="1" applyFill="1" applyBorder="1"/>
    <xf numFmtId="167" fontId="0" fillId="2" borderId="17" xfId="2" applyNumberFormat="1" applyFont="1" applyFill="1" applyBorder="1"/>
    <xf numFmtId="10" fontId="0" fillId="2" borderId="15" xfId="0" applyNumberFormat="1" applyFont="1" applyFill="1" applyBorder="1"/>
    <xf numFmtId="10" fontId="0" fillId="2" borderId="12" xfId="0" applyNumberFormat="1" applyFont="1" applyFill="1" applyBorder="1"/>
    <xf numFmtId="167" fontId="2" fillId="2" borderId="11" xfId="0" applyNumberFormat="1" applyFont="1" applyFill="1" applyBorder="1"/>
    <xf numFmtId="167" fontId="2" fillId="2" borderId="17" xfId="0" applyNumberFormat="1" applyFont="1" applyFill="1" applyBorder="1"/>
    <xf numFmtId="167" fontId="2" fillId="2" borderId="0" xfId="0" applyNumberFormat="1" applyFont="1" applyFill="1"/>
    <xf numFmtId="0" fontId="6" fillId="2" borderId="13" xfId="0" applyFont="1" applyFill="1" applyBorder="1" applyAlignment="1">
      <alignment horizontal="center" wrapText="1"/>
    </xf>
    <xf numFmtId="0" fontId="0" fillId="2" borderId="5" xfId="0" applyFill="1" applyBorder="1" applyAlignment="1">
      <alignment wrapText="1"/>
    </xf>
    <xf numFmtId="170" fontId="3" fillId="2" borderId="4" xfId="2" applyNumberFormat="1" applyFont="1" applyFill="1" applyBorder="1"/>
    <xf numFmtId="170" fontId="0" fillId="2" borderId="4" xfId="2" applyNumberFormat="1" applyFont="1" applyFill="1" applyBorder="1"/>
    <xf numFmtId="170" fontId="0" fillId="2" borderId="8" xfId="2" applyNumberFormat="1" applyFont="1" applyFill="1" applyBorder="1"/>
    <xf numFmtId="170" fontId="0" fillId="2" borderId="8" xfId="0" applyNumberFormat="1" applyFill="1" applyBorder="1"/>
    <xf numFmtId="170" fontId="6" fillId="2" borderId="6" xfId="0" applyNumberFormat="1" applyFont="1" applyFill="1" applyBorder="1"/>
    <xf numFmtId="171" fontId="10" fillId="2" borderId="4" xfId="0" applyNumberFormat="1" applyFont="1" applyFill="1" applyBorder="1"/>
    <xf numFmtId="0" fontId="12" fillId="2" borderId="4" xfId="0" applyFont="1" applyFill="1" applyBorder="1" applyAlignment="1">
      <alignment horizontal="right"/>
    </xf>
    <xf numFmtId="14" fontId="11" fillId="2" borderId="4" xfId="2" applyNumberFormat="1" applyFont="1" applyFill="1" applyBorder="1"/>
    <xf numFmtId="170" fontId="11" fillId="2" borderId="4" xfId="2" applyNumberFormat="1" applyFont="1" applyFill="1" applyBorder="1"/>
    <xf numFmtId="0" fontId="11" fillId="2" borderId="6" xfId="0" applyFont="1" applyFill="1" applyBorder="1"/>
    <xf numFmtId="10" fontId="12" fillId="2" borderId="4" xfId="0" applyNumberFormat="1" applyFont="1" applyFill="1" applyBorder="1"/>
    <xf numFmtId="167" fontId="11" fillId="2" borderId="4" xfId="2" applyNumberFormat="1" applyFont="1" applyFill="1" applyBorder="1"/>
    <xf numFmtId="170" fontId="11" fillId="2" borderId="4" xfId="0" applyNumberFormat="1" applyFont="1" applyFill="1" applyBorder="1"/>
    <xf numFmtId="170" fontId="2" fillId="2" borderId="9" xfId="0" applyNumberFormat="1" applyFont="1" applyFill="1" applyBorder="1"/>
    <xf numFmtId="170" fontId="2" fillId="2" borderId="9" xfId="2" applyNumberFormat="1" applyFont="1" applyFill="1" applyBorder="1"/>
    <xf numFmtId="9" fontId="11" fillId="2" borderId="6" xfId="3" applyFont="1" applyFill="1" applyBorder="1"/>
    <xf numFmtId="9" fontId="0" fillId="0" borderId="0" xfId="0" applyNumberFormat="1"/>
    <xf numFmtId="10" fontId="0" fillId="0" borderId="0" xfId="0" applyNumberFormat="1"/>
    <xf numFmtId="172" fontId="0" fillId="2" borderId="11" xfId="0" applyNumberFormat="1" applyFill="1" applyBorder="1"/>
    <xf numFmtId="164" fontId="0" fillId="2" borderId="4" xfId="2" applyNumberFormat="1" applyFont="1" applyFill="1" applyBorder="1"/>
    <xf numFmtId="165" fontId="0" fillId="2" borderId="6" xfId="1" applyNumberFormat="1" applyFont="1" applyFill="1" applyBorder="1"/>
    <xf numFmtId="2" fontId="0" fillId="0" borderId="0" xfId="0" applyNumberFormat="1"/>
    <xf numFmtId="173" fontId="0" fillId="0" borderId="0" xfId="0" applyNumberFormat="1"/>
    <xf numFmtId="2" fontId="0" fillId="0" borderId="0" xfId="3" applyNumberFormat="1" applyFont="1"/>
    <xf numFmtId="165" fontId="0" fillId="0" borderId="0" xfId="0" applyNumberFormat="1"/>
    <xf numFmtId="0" fontId="13" fillId="0" borderId="18" xfId="0" applyFont="1" applyBorder="1"/>
    <xf numFmtId="0" fontId="0" fillId="0" borderId="18" xfId="0" applyBorder="1"/>
    <xf numFmtId="14" fontId="14" fillId="2" borderId="18" xfId="0" applyNumberFormat="1" applyFont="1" applyFill="1" applyBorder="1" applyAlignment="1">
      <alignment horizontal="center"/>
    </xf>
    <xf numFmtId="14" fontId="2" fillId="2" borderId="18" xfId="0" applyNumberFormat="1" applyFont="1" applyFill="1" applyBorder="1" applyAlignment="1">
      <alignment horizontal="center"/>
    </xf>
    <xf numFmtId="0" fontId="0" fillId="0" borderId="18" xfId="0" applyBorder="1" applyAlignment="1">
      <alignment horizontal="center"/>
    </xf>
    <xf numFmtId="10" fontId="0" fillId="0" borderId="18" xfId="3" applyNumberFormat="1" applyFont="1" applyBorder="1" applyAlignment="1">
      <alignment horizontal="center"/>
    </xf>
    <xf numFmtId="40" fontId="0" fillId="0" borderId="18" xfId="0" applyNumberFormat="1" applyBorder="1" applyAlignment="1">
      <alignment horizontal="center"/>
    </xf>
    <xf numFmtId="40" fontId="0" fillId="0" borderId="18" xfId="3" applyNumberFormat="1" applyFont="1" applyBorder="1" applyAlignment="1">
      <alignment horizontal="center"/>
    </xf>
    <xf numFmtId="40" fontId="0" fillId="2" borderId="18" xfId="1" applyNumberFormat="1" applyFont="1" applyFill="1" applyBorder="1" applyAlignment="1">
      <alignment horizontal="center"/>
    </xf>
    <xf numFmtId="0" fontId="2" fillId="0" borderId="0" xfId="0" applyFont="1" applyBorder="1"/>
    <xf numFmtId="0" fontId="0" fillId="2" borderId="10" xfId="0" applyFill="1" applyBorder="1" applyAlignment="1">
      <alignment horizontal="center"/>
    </xf>
    <xf numFmtId="0" fontId="0" fillId="0" borderId="18" xfId="0" applyBorder="1" applyAlignment="1">
      <alignment horizontal="center"/>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0" fillId="2" borderId="0" xfId="0" applyFill="1" applyAlignment="1">
      <alignment wrapText="1"/>
    </xf>
    <xf numFmtId="0" fontId="0" fillId="2" borderId="7" xfId="0" applyFill="1" applyBorder="1" applyAlignment="1">
      <alignment horizontal="center"/>
    </xf>
    <xf numFmtId="0" fontId="0" fillId="2" borderId="10" xfId="0" applyFill="1" applyBorder="1" applyAlignment="1">
      <alignment horizontal="center"/>
    </xf>
    <xf numFmtId="0" fontId="0" fillId="2" borderId="8" xfId="0" applyFill="1" applyBorder="1" applyAlignment="1">
      <alignment horizontal="center"/>
    </xf>
    <xf numFmtId="0" fontId="0" fillId="0" borderId="18" xfId="0" applyBorder="1" applyAlignment="1">
      <alignment horizontal="left"/>
    </xf>
    <xf numFmtId="0" fontId="0" fillId="0" borderId="18" xfId="0" applyBorder="1" applyAlignment="1">
      <alignment horizontal="center"/>
    </xf>
    <xf numFmtId="0" fontId="14" fillId="0" borderId="7" xfId="0" applyFont="1" applyBorder="1" applyAlignment="1">
      <alignment horizontal="left"/>
    </xf>
    <xf numFmtId="0" fontId="14" fillId="0" borderId="10" xfId="0" applyFont="1" applyBorder="1" applyAlignment="1">
      <alignment horizontal="left"/>
    </xf>
    <xf numFmtId="0" fontId="14" fillId="0" borderId="8" xfId="0" applyFont="1" applyBorder="1" applyAlignment="1">
      <alignment horizontal="left"/>
    </xf>
    <xf numFmtId="0" fontId="0" fillId="0" borderId="7" xfId="0" applyBorder="1" applyAlignment="1">
      <alignment horizontal="center"/>
    </xf>
    <xf numFmtId="0" fontId="0" fillId="0" borderId="10" xfId="0" applyBorder="1" applyAlignment="1">
      <alignment horizontal="center"/>
    </xf>
    <xf numFmtId="0" fontId="0" fillId="0" borderId="8" xfId="0" applyBorder="1" applyAlignment="1">
      <alignment horizontal="center"/>
    </xf>
    <xf numFmtId="0" fontId="0" fillId="0" borderId="0" xfId="0" applyAlignment="1">
      <alignment horizontal="left"/>
    </xf>
    <xf numFmtId="0" fontId="0" fillId="0" borderId="0" xfId="0" applyAlignment="1">
      <alignment horizontal="left" wrapText="1"/>
    </xf>
    <xf numFmtId="0" fontId="0" fillId="0" borderId="0" xfId="0" applyAlignment="1">
      <alignment horizontal="center" vertical="center"/>
    </xf>
    <xf numFmtId="1" fontId="0" fillId="0" borderId="0" xfId="0" applyNumberFormat="1" applyAlignment="1">
      <alignment horizontal="center" vertical="center"/>
    </xf>
    <xf numFmtId="2" fontId="0" fillId="0" borderId="0" xfId="0" applyNumberFormat="1" applyAlignment="1">
      <alignment horizontal="center" vertical="center"/>
    </xf>
    <xf numFmtId="173" fontId="0" fillId="0" borderId="0" xfId="0" applyNumberFormat="1" applyAlignment="1">
      <alignment horizontal="center" vertical="center"/>
    </xf>
    <xf numFmtId="0" fontId="0" fillId="0" borderId="0" xfId="0" applyAlignment="1"/>
    <xf numFmtId="0" fontId="0" fillId="0" borderId="0" xfId="0" applyAlignment="1">
      <alignment horizontal="center"/>
    </xf>
    <xf numFmtId="0" fontId="0" fillId="0" borderId="18" xfId="0" applyBorder="1" applyAlignment="1">
      <alignment horizontal="center" wrapText="1"/>
    </xf>
    <xf numFmtId="0" fontId="0" fillId="0" borderId="18" xfId="0" applyBorder="1" applyAlignment="1">
      <alignment horizontal="center" vertical="center"/>
    </xf>
    <xf numFmtId="0" fontId="0" fillId="0" borderId="18" xfId="0" applyBorder="1" applyAlignment="1">
      <alignment vertical="center"/>
    </xf>
    <xf numFmtId="0" fontId="0" fillId="0" borderId="18" xfId="0" applyBorder="1" applyAlignment="1">
      <alignment horizontal="center" vertical="center"/>
    </xf>
    <xf numFmtId="0" fontId="0" fillId="0" borderId="12" xfId="0" applyBorder="1" applyAlignment="1">
      <alignment horizontal="center" vertical="center"/>
    </xf>
    <xf numFmtId="0" fontId="0" fillId="0" borderId="18" xfId="0" applyBorder="1" applyAlignment="1">
      <alignment horizontal="left" wrapText="1"/>
    </xf>
    <xf numFmtId="0" fontId="0" fillId="0" borderId="12" xfId="0" applyBorder="1" applyAlignment="1">
      <alignment horizontal="center"/>
    </xf>
    <xf numFmtId="0" fontId="0" fillId="0" borderId="1" xfId="0" applyBorder="1" applyAlignment="1">
      <alignment horizontal="center" vertical="center" wrapText="1"/>
    </xf>
    <xf numFmtId="0" fontId="0" fillId="0" borderId="15" xfId="0" applyBorder="1" applyAlignment="1">
      <alignment horizontal="center" vertical="center" wrapText="1"/>
    </xf>
    <xf numFmtId="0" fontId="0" fillId="0" borderId="2" xfId="0" applyBorder="1" applyAlignment="1">
      <alignment horizontal="center" vertical="center" wrapText="1"/>
    </xf>
    <xf numFmtId="9" fontId="0" fillId="0" borderId="12" xfId="0" applyNumberFormat="1" applyBorder="1" applyAlignment="1">
      <alignment horizontal="center" vertical="center"/>
    </xf>
    <xf numFmtId="10" fontId="0" fillId="0" borderId="12" xfId="0" applyNumberFormat="1"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horizontal="center"/>
    </xf>
    <xf numFmtId="0" fontId="0" fillId="0" borderId="5" xfId="0" applyBorder="1" applyAlignment="1">
      <alignment horizontal="center" vertical="center" wrapText="1"/>
    </xf>
    <xf numFmtId="0" fontId="0" fillId="0" borderId="16" xfId="0" applyBorder="1" applyAlignment="1">
      <alignment horizontal="center" vertical="center" wrapText="1"/>
    </xf>
    <xf numFmtId="0" fontId="0" fillId="0" borderId="6" xfId="0" applyBorder="1" applyAlignment="1">
      <alignment horizontal="center" vertical="center" wrapText="1"/>
    </xf>
    <xf numFmtId="9" fontId="0" fillId="0" borderId="14" xfId="0" applyNumberFormat="1" applyBorder="1" applyAlignment="1">
      <alignment horizontal="center" vertical="center"/>
    </xf>
    <xf numFmtId="10" fontId="0" fillId="0" borderId="14" xfId="0" applyNumberFormat="1" applyBorder="1" applyAlignment="1">
      <alignment horizontal="center" vertical="center"/>
    </xf>
    <xf numFmtId="0" fontId="0" fillId="0" borderId="14" xfId="0" applyBorder="1" applyAlignment="1"/>
    <xf numFmtId="0" fontId="0" fillId="0" borderId="18" xfId="0" applyBorder="1" applyAlignment="1">
      <alignment wrapText="1"/>
    </xf>
    <xf numFmtId="10" fontId="0" fillId="0" borderId="18" xfId="0" applyNumberFormat="1" applyBorder="1" applyAlignment="1">
      <alignment horizontal="center"/>
    </xf>
    <xf numFmtId="0" fontId="0" fillId="0" borderId="13" xfId="0" applyBorder="1" applyAlignment="1">
      <alignment horizontal="center" vertical="center"/>
    </xf>
    <xf numFmtId="0" fontId="0" fillId="0" borderId="13" xfId="0" applyBorder="1" applyAlignment="1">
      <alignment horizontal="center"/>
    </xf>
    <xf numFmtId="0" fontId="0" fillId="0" borderId="3" xfId="0" applyBorder="1" applyAlignment="1">
      <alignment horizontal="center" vertical="center" wrapText="1"/>
    </xf>
    <xf numFmtId="0" fontId="0" fillId="0" borderId="0" xfId="0" applyBorder="1" applyAlignment="1">
      <alignment horizontal="center" vertical="center" wrapText="1"/>
    </xf>
    <xf numFmtId="0" fontId="0" fillId="0" borderId="4" xfId="0" applyBorder="1" applyAlignment="1">
      <alignment horizontal="center" vertical="center" wrapText="1"/>
    </xf>
    <xf numFmtId="9" fontId="0" fillId="0" borderId="13" xfId="0" applyNumberFormat="1" applyBorder="1" applyAlignment="1">
      <alignment horizontal="center" vertical="center"/>
    </xf>
    <xf numFmtId="10" fontId="0" fillId="0" borderId="13" xfId="0" applyNumberFormat="1" applyBorder="1" applyAlignment="1">
      <alignment horizontal="center" vertical="center"/>
    </xf>
    <xf numFmtId="0" fontId="0" fillId="0" borderId="18" xfId="0" applyBorder="1" applyAlignment="1">
      <alignment horizontal="left" wrapText="1"/>
    </xf>
    <xf numFmtId="0" fontId="0" fillId="0" borderId="1" xfId="0" applyBorder="1" applyAlignment="1">
      <alignment horizontal="center" vertical="center"/>
    </xf>
    <xf numFmtId="0" fontId="0" fillId="0" borderId="15" xfId="0"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0" fontId="0" fillId="0" borderId="16" xfId="0" applyBorder="1" applyAlignment="1">
      <alignment horizontal="center" vertical="center"/>
    </xf>
    <xf numFmtId="0" fontId="0" fillId="0" borderId="6" xfId="0" applyBorder="1" applyAlignment="1">
      <alignment horizontal="center" vertical="center"/>
    </xf>
    <xf numFmtId="0" fontId="0" fillId="0" borderId="12" xfId="0" applyBorder="1" applyAlignment="1">
      <alignment horizontal="left" wrapText="1"/>
    </xf>
    <xf numFmtId="0" fontId="0" fillId="0" borderId="13" xfId="0" applyBorder="1" applyAlignment="1">
      <alignment horizontal="left" wrapText="1"/>
    </xf>
    <xf numFmtId="0" fontId="0" fillId="0" borderId="14" xfId="0" applyBorder="1" applyAlignment="1">
      <alignment horizontal="left" wrapText="1"/>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elicity\Desktop\University%20of%20Liverpool\Module%204\WEEK%206\ASSIGNMENT%20SPREAD%20SHEET%20-%20final%20-%2017.02.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Inputs"/>
      <sheetName val="Forecasts"/>
      <sheetName val="Valuation Summary"/>
      <sheetName val="Terminal Value"/>
      <sheetName val="Scenarios"/>
    </sheetNames>
    <sheetDataSet>
      <sheetData sheetId="0" refreshError="1"/>
      <sheetData sheetId="1" refreshError="1"/>
      <sheetData sheetId="2">
        <row r="40">
          <cell r="K40">
            <v>-3255692665.211957</v>
          </cell>
        </row>
        <row r="49">
          <cell r="K49">
            <v>0.39922061096854039</v>
          </cell>
        </row>
        <row r="69">
          <cell r="K69">
            <v>9.6172000000000007E-2</v>
          </cell>
        </row>
      </sheetData>
      <sheetData sheetId="3" refreshError="1"/>
      <sheetData sheetId="4" refreshError="1"/>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workbookViewId="0">
      <selection activeCell="A13" sqref="A13:B13"/>
    </sheetView>
  </sheetViews>
  <sheetFormatPr defaultColWidth="8.85546875" defaultRowHeight="15" x14ac:dyDescent="0.25"/>
  <cols>
    <col min="1" max="1" width="100.28515625" style="1" customWidth="1"/>
    <col min="2" max="16384" width="8.85546875" style="1"/>
  </cols>
  <sheetData>
    <row r="1" spans="1:2" x14ac:dyDescent="0.25">
      <c r="A1" s="23" t="s">
        <v>126</v>
      </c>
    </row>
    <row r="3" spans="1:2" x14ac:dyDescent="0.25">
      <c r="A3" s="1" t="s">
        <v>146</v>
      </c>
    </row>
    <row r="5" spans="1:2" s="67" customFormat="1" ht="30" customHeight="1" x14ac:dyDescent="0.25">
      <c r="A5" s="134" t="s">
        <v>127</v>
      </c>
      <c r="B5" s="134"/>
    </row>
    <row r="6" spans="1:2" s="67" customFormat="1" x14ac:dyDescent="0.25"/>
    <row r="7" spans="1:2" ht="52.5" customHeight="1" x14ac:dyDescent="0.25">
      <c r="A7" s="134" t="s">
        <v>128</v>
      </c>
      <c r="B7" s="134"/>
    </row>
    <row r="9" spans="1:2" x14ac:dyDescent="0.25">
      <c r="A9" s="4" t="s">
        <v>129</v>
      </c>
    </row>
    <row r="10" spans="1:2" x14ac:dyDescent="0.25">
      <c r="A10" s="68" t="s">
        <v>130</v>
      </c>
    </row>
    <row r="12" spans="1:2" x14ac:dyDescent="0.25">
      <c r="A12" s="1" t="s">
        <v>132</v>
      </c>
    </row>
    <row r="13" spans="1:2" ht="30" customHeight="1" x14ac:dyDescent="0.25">
      <c r="A13" s="134" t="s">
        <v>142</v>
      </c>
      <c r="B13" s="134"/>
    </row>
    <row r="15" spans="1:2" x14ac:dyDescent="0.25">
      <c r="A15" s="1" t="s">
        <v>143</v>
      </c>
    </row>
    <row r="17" spans="1:2" x14ac:dyDescent="0.25">
      <c r="A17" s="38" t="s">
        <v>144</v>
      </c>
      <c r="B17" s="132">
        <v>1</v>
      </c>
    </row>
    <row r="18" spans="1:2" ht="30" x14ac:dyDescent="0.25">
      <c r="A18" s="94" t="s">
        <v>145</v>
      </c>
      <c r="B18" s="133"/>
    </row>
  </sheetData>
  <mergeCells count="4">
    <mergeCell ref="B17:B18"/>
    <mergeCell ref="A7:B7"/>
    <mergeCell ref="A5:B5"/>
    <mergeCell ref="A13:B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50"/>
  <sheetViews>
    <sheetView topLeftCell="A28" workbookViewId="0">
      <selection activeCell="G29" sqref="G29"/>
    </sheetView>
  </sheetViews>
  <sheetFormatPr defaultColWidth="8.85546875" defaultRowHeight="15" x14ac:dyDescent="0.25"/>
  <cols>
    <col min="1" max="1" width="47.42578125" style="1" bestFit="1" customWidth="1"/>
    <col min="2" max="2" width="20" style="1" bestFit="1" customWidth="1"/>
    <col min="3" max="3" width="4.42578125" style="1" customWidth="1"/>
    <col min="4" max="4" width="45.7109375" style="1" bestFit="1" customWidth="1"/>
    <col min="5" max="5" width="19.7109375" style="1" customWidth="1"/>
    <col min="6" max="6" width="4.7109375" style="1" customWidth="1"/>
    <col min="7" max="7" width="26.42578125" style="1" customWidth="1"/>
    <col min="8" max="16384" width="8.85546875" style="1"/>
  </cols>
  <sheetData>
    <row r="1" spans="1:6" x14ac:dyDescent="0.25">
      <c r="A1" s="23" t="s">
        <v>0</v>
      </c>
      <c r="E1" s="2">
        <f ca="1">NOW()</f>
        <v>42429.709810416665</v>
      </c>
    </row>
    <row r="3" spans="1:6" x14ac:dyDescent="0.25">
      <c r="A3" s="135" t="s">
        <v>43</v>
      </c>
      <c r="B3" s="137"/>
      <c r="D3" s="135" t="s">
        <v>66</v>
      </c>
      <c r="E3" s="137"/>
    </row>
    <row r="4" spans="1:6" x14ac:dyDescent="0.25">
      <c r="A4" s="7" t="s">
        <v>1</v>
      </c>
      <c r="B4" s="101" t="s">
        <v>147</v>
      </c>
      <c r="D4" s="7" t="s">
        <v>6</v>
      </c>
      <c r="E4" s="105">
        <v>1.7500000000000002E-2</v>
      </c>
    </row>
    <row r="5" spans="1:6" x14ac:dyDescent="0.25">
      <c r="A5" s="7" t="s">
        <v>2</v>
      </c>
      <c r="B5" s="103">
        <v>0.98460000000000003</v>
      </c>
      <c r="D5" s="7" t="s">
        <v>61</v>
      </c>
      <c r="E5" s="100">
        <f>T26-E4</f>
        <v>5.28E-2</v>
      </c>
      <c r="F5" s="46"/>
    </row>
    <row r="6" spans="1:6" ht="15.75" thickBot="1" x14ac:dyDescent="0.3">
      <c r="A6" s="7" t="s">
        <v>30</v>
      </c>
      <c r="B6" s="102">
        <v>42415</v>
      </c>
      <c r="D6" s="7" t="s">
        <v>7</v>
      </c>
      <c r="E6" s="39">
        <f>E4+B12*E5</f>
        <v>9.6172000000000007E-2</v>
      </c>
    </row>
    <row r="7" spans="1:6" ht="15.75" thickTop="1" x14ac:dyDescent="0.25">
      <c r="A7" s="7" t="s">
        <v>41</v>
      </c>
      <c r="B7" s="95">
        <v>0</v>
      </c>
      <c r="D7" s="40"/>
      <c r="E7" s="16"/>
    </row>
    <row r="8" spans="1:6" x14ac:dyDescent="0.25">
      <c r="A8" s="7" t="s">
        <v>42</v>
      </c>
      <c r="B8" s="9">
        <f>B7/B5</f>
        <v>0</v>
      </c>
      <c r="D8" s="40" t="s">
        <v>62</v>
      </c>
      <c r="E8" s="15">
        <f>SUM(B33,B37,-B18)</f>
        <v>30770000000</v>
      </c>
    </row>
    <row r="9" spans="1:6" x14ac:dyDescent="0.25">
      <c r="A9" s="7"/>
      <c r="B9" s="10"/>
      <c r="D9" s="40" t="s">
        <v>63</v>
      </c>
      <c r="E9" s="15">
        <f>E21</f>
        <v>1050000000</v>
      </c>
    </row>
    <row r="10" spans="1:6" x14ac:dyDescent="0.25">
      <c r="A10" s="7" t="s">
        <v>4</v>
      </c>
      <c r="B10" s="11">
        <v>14390000000</v>
      </c>
      <c r="D10" s="40" t="s">
        <v>64</v>
      </c>
      <c r="E10" s="41">
        <f>E9/E8</f>
        <v>3.412414689632759E-2</v>
      </c>
    </row>
    <row r="11" spans="1:6" ht="15.75" thickBot="1" x14ac:dyDescent="0.3">
      <c r="A11" s="7" t="s">
        <v>5</v>
      </c>
      <c r="B11" s="96">
        <f>B10*B5</f>
        <v>14168394000</v>
      </c>
      <c r="D11" s="40" t="s">
        <v>65</v>
      </c>
      <c r="E11" s="39">
        <f>E10*(1-E31)</f>
        <v>2.7360802466424826E-2</v>
      </c>
    </row>
    <row r="12" spans="1:6" ht="15.75" thickTop="1" x14ac:dyDescent="0.25">
      <c r="A12" s="13" t="s">
        <v>3</v>
      </c>
      <c r="B12" s="104">
        <v>1.49</v>
      </c>
      <c r="D12" s="13"/>
      <c r="E12" s="42"/>
    </row>
    <row r="13" spans="1:6" x14ac:dyDescent="0.25">
      <c r="B13" s="4"/>
    </row>
    <row r="15" spans="1:6" x14ac:dyDescent="0.25">
      <c r="A15" s="135" t="s">
        <v>44</v>
      </c>
      <c r="B15" s="137"/>
      <c r="D15" s="135" t="s">
        <v>48</v>
      </c>
      <c r="E15" s="137"/>
    </row>
    <row r="16" spans="1:6" x14ac:dyDescent="0.25">
      <c r="A16" s="18" t="s">
        <v>45</v>
      </c>
      <c r="B16" s="29">
        <v>42004</v>
      </c>
      <c r="D16" s="18" t="s">
        <v>47</v>
      </c>
      <c r="E16" s="29">
        <v>42004</v>
      </c>
    </row>
    <row r="17" spans="1:20" x14ac:dyDescent="0.25">
      <c r="A17" s="18"/>
      <c r="B17" s="19"/>
      <c r="D17" s="7"/>
      <c r="E17" s="14"/>
    </row>
    <row r="18" spans="1:20" x14ac:dyDescent="0.25">
      <c r="A18" s="7" t="s">
        <v>8</v>
      </c>
      <c r="B18" s="103">
        <v>4420000000</v>
      </c>
      <c r="D18" s="7" t="s">
        <v>31</v>
      </c>
      <c r="E18" s="106">
        <v>134260000000</v>
      </c>
    </row>
    <row r="19" spans="1:20" x14ac:dyDescent="0.25">
      <c r="A19" s="7" t="s">
        <v>9</v>
      </c>
      <c r="B19" s="103">
        <v>9280000000</v>
      </c>
      <c r="D19" s="7"/>
      <c r="E19" s="12"/>
    </row>
    <row r="20" spans="1:20" x14ac:dyDescent="0.25">
      <c r="A20" s="7" t="s">
        <v>10</v>
      </c>
      <c r="B20" s="103">
        <v>15670000000</v>
      </c>
      <c r="D20" s="7" t="s">
        <v>32</v>
      </c>
      <c r="E20" s="106">
        <v>6600000000</v>
      </c>
    </row>
    <row r="21" spans="1:20" x14ac:dyDescent="0.25">
      <c r="A21" s="7" t="s">
        <v>11</v>
      </c>
      <c r="B21" s="103">
        <v>279620000</v>
      </c>
      <c r="D21" s="7" t="s">
        <v>33</v>
      </c>
      <c r="E21" s="106">
        <v>1050000000</v>
      </c>
    </row>
    <row r="22" spans="1:20" x14ac:dyDescent="0.25">
      <c r="A22" s="7" t="s">
        <v>12</v>
      </c>
      <c r="B22" s="97">
        <f>SUM(B18:B21)</f>
        <v>29649620000</v>
      </c>
      <c r="D22" s="7" t="s">
        <v>34</v>
      </c>
      <c r="E22" s="20">
        <f>E20-E21</f>
        <v>5550000000</v>
      </c>
    </row>
    <row r="23" spans="1:20" x14ac:dyDescent="0.25">
      <c r="A23" s="7"/>
      <c r="B23" s="12"/>
      <c r="D23" s="7" t="s">
        <v>35</v>
      </c>
      <c r="E23" s="106">
        <v>1100000000</v>
      </c>
    </row>
    <row r="24" spans="1:20" x14ac:dyDescent="0.25">
      <c r="A24" s="7" t="s">
        <v>13</v>
      </c>
      <c r="B24" s="106">
        <v>13380000000</v>
      </c>
      <c r="D24" s="7" t="s">
        <v>36</v>
      </c>
      <c r="E24" s="20">
        <f>E22-E23</f>
        <v>4450000000</v>
      </c>
    </row>
    <row r="25" spans="1:20" x14ac:dyDescent="0.25">
      <c r="A25" s="7" t="s">
        <v>14</v>
      </c>
      <c r="B25" s="106">
        <v>44580000000</v>
      </c>
      <c r="D25" s="7" t="s">
        <v>37</v>
      </c>
      <c r="E25" s="28">
        <v>0</v>
      </c>
    </row>
    <row r="26" spans="1:20" x14ac:dyDescent="0.25">
      <c r="A26" s="7" t="s">
        <v>18</v>
      </c>
      <c r="B26" s="106">
        <v>9620000000</v>
      </c>
      <c r="D26" s="7" t="s">
        <v>38</v>
      </c>
      <c r="E26" s="28">
        <v>0</v>
      </c>
      <c r="T26" s="46">
        <v>7.0300000000000001E-2</v>
      </c>
    </row>
    <row r="27" spans="1:20" ht="15.75" thickBot="1" x14ac:dyDescent="0.3">
      <c r="A27" s="7" t="s">
        <v>15</v>
      </c>
      <c r="B27" s="106">
        <v>387370000</v>
      </c>
      <c r="D27" s="7" t="s">
        <v>39</v>
      </c>
      <c r="E27" s="21">
        <f>E24+E25-E26</f>
        <v>4450000000</v>
      </c>
    </row>
    <row r="28" spans="1:20" ht="15.75" thickTop="1" x14ac:dyDescent="0.25">
      <c r="A28" s="7" t="s">
        <v>16</v>
      </c>
      <c r="B28" s="97">
        <f>SUM(B24:B27)</f>
        <v>67967370000</v>
      </c>
      <c r="D28" s="7"/>
      <c r="E28" s="16"/>
    </row>
    <row r="29" spans="1:20" x14ac:dyDescent="0.25">
      <c r="A29" s="7"/>
      <c r="B29" s="12"/>
      <c r="D29" s="7" t="s">
        <v>40</v>
      </c>
      <c r="E29" s="32">
        <f>E27/B10</f>
        <v>0.3092425295343989</v>
      </c>
    </row>
    <row r="30" spans="1:20" ht="15.75" thickBot="1" x14ac:dyDescent="0.3">
      <c r="A30" s="7" t="s">
        <v>17</v>
      </c>
      <c r="B30" s="109">
        <f>SUM(B28,B22)</f>
        <v>97616990000</v>
      </c>
      <c r="D30" s="7" t="s">
        <v>49</v>
      </c>
      <c r="E30" s="33">
        <f>E27/E18</f>
        <v>3.3144644719201546E-2</v>
      </c>
    </row>
    <row r="31" spans="1:20" ht="15.75" thickTop="1" x14ac:dyDescent="0.25">
      <c r="A31" s="7"/>
      <c r="B31" s="12"/>
      <c r="D31" s="7" t="s">
        <v>50</v>
      </c>
      <c r="E31" s="33">
        <f>E23/E22</f>
        <v>0.1981981981981982</v>
      </c>
    </row>
    <row r="32" spans="1:20" x14ac:dyDescent="0.25">
      <c r="A32" s="7" t="s">
        <v>19</v>
      </c>
      <c r="B32" s="103">
        <v>17680000000</v>
      </c>
      <c r="D32" s="7" t="s">
        <v>59</v>
      </c>
      <c r="E32" s="12">
        <f>SUM(E27,E21*(1-E31))</f>
        <v>5291891891.8918915</v>
      </c>
    </row>
    <row r="33" spans="1:5" x14ac:dyDescent="0.25">
      <c r="A33" s="7" t="s">
        <v>20</v>
      </c>
      <c r="B33" s="103">
        <v>9100000000</v>
      </c>
      <c r="D33" s="7" t="s">
        <v>60</v>
      </c>
      <c r="E33" s="33">
        <f>E32/E18</f>
        <v>3.9415253179591027E-2</v>
      </c>
    </row>
    <row r="34" spans="1:5" x14ac:dyDescent="0.25">
      <c r="A34" s="7" t="s">
        <v>21</v>
      </c>
      <c r="B34" s="103">
        <v>2350000000</v>
      </c>
      <c r="D34" s="13" t="s">
        <v>83</v>
      </c>
      <c r="E34" s="34">
        <f>B7/E29</f>
        <v>0</v>
      </c>
    </row>
    <row r="35" spans="1:5" x14ac:dyDescent="0.25">
      <c r="A35" s="7" t="s">
        <v>22</v>
      </c>
      <c r="B35" s="97">
        <f>SUM(B32:B34)</f>
        <v>29130000000</v>
      </c>
    </row>
    <row r="36" spans="1:5" x14ac:dyDescent="0.25">
      <c r="A36" s="7"/>
      <c r="B36" s="12"/>
      <c r="D36" s="135" t="s">
        <v>57</v>
      </c>
      <c r="E36" s="137"/>
    </row>
    <row r="37" spans="1:5" x14ac:dyDescent="0.25">
      <c r="A37" s="7" t="s">
        <v>23</v>
      </c>
      <c r="B37" s="103">
        <v>26090000000</v>
      </c>
      <c r="D37" s="18" t="s">
        <v>51</v>
      </c>
      <c r="E37" s="19"/>
    </row>
    <row r="38" spans="1:5" x14ac:dyDescent="0.25">
      <c r="A38" s="7" t="s">
        <v>24</v>
      </c>
      <c r="B38" s="103">
        <v>2350000000</v>
      </c>
      <c r="D38" s="7" t="s">
        <v>52</v>
      </c>
      <c r="E38" s="44">
        <v>42004</v>
      </c>
    </row>
    <row r="39" spans="1:5" x14ac:dyDescent="0.25">
      <c r="A39" s="7" t="s">
        <v>25</v>
      </c>
      <c r="B39" s="103">
        <v>3960000000</v>
      </c>
      <c r="D39" s="7" t="s">
        <v>53</v>
      </c>
      <c r="E39" s="8">
        <v>0.08</v>
      </c>
    </row>
    <row r="40" spans="1:5" x14ac:dyDescent="0.25">
      <c r="A40" s="7" t="s">
        <v>26</v>
      </c>
      <c r="B40" s="103">
        <v>3060000000</v>
      </c>
      <c r="D40" s="7" t="s">
        <v>54</v>
      </c>
      <c r="E40" s="28">
        <v>164130000000</v>
      </c>
    </row>
    <row r="41" spans="1:5" x14ac:dyDescent="0.25">
      <c r="A41" s="7" t="s">
        <v>27</v>
      </c>
      <c r="B41" s="98">
        <f>SUM(B37:B40)</f>
        <v>35460000000</v>
      </c>
      <c r="D41" s="7"/>
      <c r="E41" s="16"/>
    </row>
    <row r="42" spans="1:5" x14ac:dyDescent="0.25">
      <c r="A42" s="7"/>
      <c r="B42" s="16"/>
      <c r="D42" s="7" t="s">
        <v>55</v>
      </c>
      <c r="E42" s="44">
        <v>42369</v>
      </c>
    </row>
    <row r="43" spans="1:5" x14ac:dyDescent="0.25">
      <c r="A43" s="7" t="s">
        <v>28</v>
      </c>
      <c r="B43" s="107">
        <v>33020000000</v>
      </c>
      <c r="D43" s="7" t="s">
        <v>53</v>
      </c>
      <c r="E43" s="8">
        <v>7.0000000000000007E-2</v>
      </c>
    </row>
    <row r="44" spans="1:5" x14ac:dyDescent="0.25">
      <c r="A44" s="7"/>
      <c r="B44" s="16"/>
      <c r="D44" s="7" t="s">
        <v>56</v>
      </c>
      <c r="E44" s="28">
        <v>155440000000</v>
      </c>
    </row>
    <row r="45" spans="1:5" ht="15.75" thickBot="1" x14ac:dyDescent="0.3">
      <c r="A45" s="7" t="s">
        <v>29</v>
      </c>
      <c r="B45" s="108">
        <f>SUM(B43,B41,B35)</f>
        <v>97610000000</v>
      </c>
      <c r="D45" s="7"/>
      <c r="E45" s="16"/>
    </row>
    <row r="46" spans="1:5" ht="15.75" thickTop="1" x14ac:dyDescent="0.25">
      <c r="A46" s="22" t="s">
        <v>46</v>
      </c>
      <c r="B46" s="99">
        <f>B30-B45</f>
        <v>6990000</v>
      </c>
      <c r="D46" s="13" t="s">
        <v>58</v>
      </c>
      <c r="E46" s="110">
        <v>-0.25</v>
      </c>
    </row>
    <row r="48" spans="1:5" x14ac:dyDescent="0.25">
      <c r="A48" s="135" t="s">
        <v>131</v>
      </c>
      <c r="B48" s="136"/>
      <c r="C48" s="136"/>
      <c r="D48" s="136"/>
      <c r="E48" s="137"/>
    </row>
    <row r="49" spans="1:5" x14ac:dyDescent="0.25">
      <c r="A49" s="7" t="s">
        <v>68</v>
      </c>
      <c r="B49" s="69">
        <f>SUM(B19,B20,B21,-B32,-B34)</f>
        <v>5199620000</v>
      </c>
      <c r="C49" s="31"/>
      <c r="D49" s="31" t="s">
        <v>74</v>
      </c>
      <c r="E49" s="70">
        <f>E39*B10</f>
        <v>1151200000</v>
      </c>
    </row>
    <row r="50" spans="1:5" x14ac:dyDescent="0.25">
      <c r="A50" s="13" t="s">
        <v>71</v>
      </c>
      <c r="B50" s="71">
        <f>SUM(B38,B39,B40)</f>
        <v>9370000000</v>
      </c>
      <c r="C50" s="72"/>
      <c r="D50" s="72" t="s">
        <v>82</v>
      </c>
      <c r="E50" s="62">
        <f>E43*B10</f>
        <v>1007300000.0000001</v>
      </c>
    </row>
  </sheetData>
  <mergeCells count="6">
    <mergeCell ref="A48:E48"/>
    <mergeCell ref="A3:B3"/>
    <mergeCell ref="A15:B15"/>
    <mergeCell ref="D15:E15"/>
    <mergeCell ref="D36:E36"/>
    <mergeCell ref="D3:E3"/>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J96"/>
  <sheetViews>
    <sheetView tabSelected="1" workbookViewId="0">
      <pane xSplit="1" ySplit="2" topLeftCell="B60" activePane="bottomRight" state="frozen"/>
      <selection pane="topRight" activeCell="B1" sqref="B1"/>
      <selection pane="bottomLeft" activeCell="A3" sqref="A3"/>
      <selection pane="bottomRight" activeCell="A51" sqref="A51"/>
    </sheetView>
  </sheetViews>
  <sheetFormatPr defaultColWidth="31.42578125" defaultRowHeight="15" x14ac:dyDescent="0.25"/>
  <cols>
    <col min="1" max="1" width="42.28515625" style="1" customWidth="1"/>
    <col min="2" max="9" width="17.7109375" style="1" customWidth="1"/>
    <col min="10" max="10" width="26.85546875" style="1" customWidth="1"/>
    <col min="11" max="11" width="19.28515625" style="1" customWidth="1"/>
    <col min="12" max="12" width="20" style="1" customWidth="1"/>
    <col min="13" max="16384" width="31.42578125" style="1"/>
  </cols>
  <sheetData>
    <row r="1" spans="1:13" s="23" customFormat="1" x14ac:dyDescent="0.25">
      <c r="A1" s="23" t="s">
        <v>67</v>
      </c>
      <c r="B1" s="24">
        <v>42004</v>
      </c>
      <c r="C1" s="24">
        <v>42369</v>
      </c>
      <c r="D1" s="24">
        <v>42735</v>
      </c>
      <c r="E1" s="24">
        <v>43100</v>
      </c>
      <c r="F1" s="24">
        <v>43465</v>
      </c>
      <c r="G1" s="24">
        <v>43830</v>
      </c>
      <c r="H1" s="24">
        <v>44196</v>
      </c>
      <c r="I1" s="24">
        <v>44561</v>
      </c>
      <c r="J1" s="24">
        <v>44926</v>
      </c>
      <c r="K1" s="24">
        <v>45291</v>
      </c>
      <c r="L1" s="24">
        <v>45657</v>
      </c>
    </row>
    <row r="2" spans="1:13" ht="3.75" customHeight="1" x14ac:dyDescent="0.25">
      <c r="B2" s="2"/>
      <c r="G2" s="2"/>
      <c r="L2" s="48"/>
    </row>
    <row r="3" spans="1:13" ht="3.75" customHeight="1" x14ac:dyDescent="0.25">
      <c r="B3" s="2"/>
      <c r="G3" s="2"/>
      <c r="L3" s="48" t="s">
        <v>172</v>
      </c>
    </row>
    <row r="4" spans="1:13" s="25" customFormat="1" ht="34.5" x14ac:dyDescent="0.25">
      <c r="A4" s="25" t="s">
        <v>133</v>
      </c>
      <c r="L4" s="93" t="s">
        <v>141</v>
      </c>
    </row>
    <row r="5" spans="1:13" ht="5.25" customHeight="1" x14ac:dyDescent="0.25">
      <c r="L5" s="48"/>
    </row>
    <row r="6" spans="1:13" x14ac:dyDescent="0.25">
      <c r="A6" s="1" t="s">
        <v>68</v>
      </c>
      <c r="B6" s="3">
        <f>Inputs!B49</f>
        <v>5199620000</v>
      </c>
      <c r="C6" s="6">
        <f t="shared" ref="C6:L6" si="0">C19*C33</f>
        <v>4924321774.2033749</v>
      </c>
      <c r="D6" s="6">
        <f t="shared" si="0"/>
        <v>3693241330.6525316</v>
      </c>
      <c r="E6" s="6">
        <f t="shared" si="0"/>
        <v>2769930997.9893985</v>
      </c>
      <c r="F6" s="6">
        <f t="shared" si="0"/>
        <v>2077448248.492049</v>
      </c>
      <c r="G6" s="6">
        <f t="shared" si="0"/>
        <v>1558086186.3690367</v>
      </c>
      <c r="H6" s="6">
        <f t="shared" si="0"/>
        <v>1168564639.7767775</v>
      </c>
      <c r="I6" s="6">
        <f t="shared" si="0"/>
        <v>876423479.83258319</v>
      </c>
      <c r="J6" s="6">
        <f t="shared" si="0"/>
        <v>657317609.87443733</v>
      </c>
      <c r="K6" s="6">
        <f t="shared" si="0"/>
        <v>492988207.405828</v>
      </c>
      <c r="L6" s="49">
        <f t="shared" si="0"/>
        <v>369741155.554371</v>
      </c>
    </row>
    <row r="7" spans="1:13" x14ac:dyDescent="0.25">
      <c r="A7" s="1" t="s">
        <v>69</v>
      </c>
      <c r="B7" s="3">
        <f>Inputs!B28</f>
        <v>67967370000</v>
      </c>
      <c r="C7" s="6">
        <f t="shared" ref="C7:L7" si="1">C19*C34</f>
        <v>64368780800.5849</v>
      </c>
      <c r="D7" s="6">
        <f t="shared" si="1"/>
        <v>48276585600.438675</v>
      </c>
      <c r="E7" s="6">
        <f t="shared" si="1"/>
        <v>36207439200.32901</v>
      </c>
      <c r="F7" s="6">
        <f t="shared" si="1"/>
        <v>27155579400.246758</v>
      </c>
      <c r="G7" s="6">
        <f t="shared" si="1"/>
        <v>20366684550.185066</v>
      </c>
      <c r="H7" s="6">
        <f t="shared" si="1"/>
        <v>15275013412.6388</v>
      </c>
      <c r="I7" s="6">
        <f t="shared" si="1"/>
        <v>11456260059.479099</v>
      </c>
      <c r="J7" s="6">
        <f t="shared" si="1"/>
        <v>8592195044.6093254</v>
      </c>
      <c r="K7" s="6">
        <f t="shared" si="1"/>
        <v>6444146283.4569941</v>
      </c>
      <c r="L7" s="49">
        <f t="shared" si="1"/>
        <v>4833109712.5927458</v>
      </c>
    </row>
    <row r="8" spans="1:13" ht="15.75" thickBot="1" x14ac:dyDescent="0.3">
      <c r="A8" s="1" t="s">
        <v>70</v>
      </c>
      <c r="B8" s="27">
        <f t="shared" ref="B8:L8" si="2">SUM(B6:B7)</f>
        <v>73166990000</v>
      </c>
      <c r="C8" s="27">
        <f t="shared" si="2"/>
        <v>69293102574.788269</v>
      </c>
      <c r="D8" s="27">
        <f t="shared" si="2"/>
        <v>51969826931.091209</v>
      </c>
      <c r="E8" s="27">
        <f t="shared" si="2"/>
        <v>38977370198.318405</v>
      </c>
      <c r="F8" s="27">
        <f t="shared" si="2"/>
        <v>29233027648.738808</v>
      </c>
      <c r="G8" s="27">
        <f t="shared" si="2"/>
        <v>21924770736.554104</v>
      </c>
      <c r="H8" s="27">
        <f t="shared" si="2"/>
        <v>16443578052.415577</v>
      </c>
      <c r="I8" s="27">
        <f t="shared" si="2"/>
        <v>12332683539.311682</v>
      </c>
      <c r="J8" s="27">
        <f t="shared" si="2"/>
        <v>9249512654.4837627</v>
      </c>
      <c r="K8" s="27">
        <f t="shared" si="2"/>
        <v>6937134490.8628216</v>
      </c>
      <c r="L8" s="84">
        <f t="shared" si="2"/>
        <v>5202850868.1471167</v>
      </c>
    </row>
    <row r="9" spans="1:13" ht="15.75" thickTop="1" x14ac:dyDescent="0.25">
      <c r="L9" s="48"/>
    </row>
    <row r="10" spans="1:13" x14ac:dyDescent="0.25">
      <c r="A10" s="1" t="s">
        <v>62</v>
      </c>
      <c r="B10" s="3">
        <f>Inputs!E8</f>
        <v>30770000000</v>
      </c>
      <c r="C10" s="3">
        <f>IF(Introduction!$B$17=0,C13-C11-C12,Forecasts!C15*Forecasts!C8)</f>
        <v>29143640872.419834</v>
      </c>
      <c r="D10" s="3">
        <f>IF(Introduction!$B$17=0,D13-D11-D12,Forecasts!D15*Forecasts!D8)</f>
        <v>21857730654.31488</v>
      </c>
      <c r="E10" s="3">
        <f>IF(Introduction!$B$17=0,E13-E11-E12,Forecasts!E15*Forecasts!E8)</f>
        <v>16393297990.736158</v>
      </c>
      <c r="F10" s="3">
        <f>IF(Introduction!$B$17=0,F13-F11-F12,Forecasts!F15*Forecasts!F8)</f>
        <v>12294973493.05212</v>
      </c>
      <c r="G10" s="3">
        <f>IF(Introduction!$B$17=0,G13-G11-G12,Forecasts!G15*Forecasts!G8)</f>
        <v>9221230119.7890892</v>
      </c>
      <c r="H10" s="3">
        <f>IF(Introduction!$B$17=0,H13-H11-H12,Forecasts!H15*Forecasts!H8)</f>
        <v>6915922589.8418169</v>
      </c>
      <c r="I10" s="3">
        <f>IF(Introduction!$B$17=0,I13-I11-I12,Forecasts!I15*Forecasts!I8)</f>
        <v>5186941942.381362</v>
      </c>
      <c r="J10" s="3">
        <f>IF(Introduction!$B$17=0,J13-J11-J12,Forecasts!J15*Forecasts!J8)</f>
        <v>3890206456.7860222</v>
      </c>
      <c r="K10" s="3">
        <f>IF(Introduction!$B$17=0,K13-K11-K12,Forecasts!K15*Forecasts!K8)</f>
        <v>2917654842.5895166</v>
      </c>
      <c r="L10" s="3">
        <f>IF(Introduction!$B$17=0,L13-L11-L12,Forecasts!L15*Forecasts!L8)</f>
        <v>2188241131.9421377</v>
      </c>
    </row>
    <row r="11" spans="1:13" x14ac:dyDescent="0.25">
      <c r="A11" s="1" t="s">
        <v>71</v>
      </c>
      <c r="B11" s="3">
        <f>Inputs!B50</f>
        <v>9370000000</v>
      </c>
      <c r="C11" s="3">
        <f t="shared" ref="C11:L11" si="3">C35*C19</f>
        <v>8873897520.2583313</v>
      </c>
      <c r="D11" s="3">
        <f t="shared" si="3"/>
        <v>6655423140.1937494</v>
      </c>
      <c r="E11" s="3">
        <f t="shared" si="3"/>
        <v>4991567355.1453114</v>
      </c>
      <c r="F11" s="3">
        <f t="shared" si="3"/>
        <v>3743675516.358984</v>
      </c>
      <c r="G11" s="3">
        <f t="shared" si="3"/>
        <v>2807756637.269238</v>
      </c>
      <c r="H11" s="3">
        <f t="shared" si="3"/>
        <v>2105817477.9519284</v>
      </c>
      <c r="I11" s="3">
        <f t="shared" si="3"/>
        <v>1579363108.4639463</v>
      </c>
      <c r="J11" s="3">
        <f t="shared" si="3"/>
        <v>1184522331.3479598</v>
      </c>
      <c r="K11" s="3">
        <f t="shared" si="3"/>
        <v>888391748.51096976</v>
      </c>
      <c r="L11" s="50">
        <f t="shared" si="3"/>
        <v>666293811.38322735</v>
      </c>
    </row>
    <row r="12" spans="1:13" x14ac:dyDescent="0.25">
      <c r="A12" s="1" t="s">
        <v>72</v>
      </c>
      <c r="B12" s="3">
        <f>Inputs!B43</f>
        <v>33020000000</v>
      </c>
      <c r="C12" s="6">
        <f>IF(Introduction!B17=0,Forecasts!B12+B25,Forecasts!C8-Forecasts!C10-Forecasts!C11)</f>
        <v>31275564182.110107</v>
      </c>
      <c r="D12" s="6">
        <f>IF(Introduction!C17=0,Forecasts!C12+C25,Forecasts!D8-Forecasts!D10-Forecasts!D11)</f>
        <v>32282864182.110107</v>
      </c>
      <c r="E12" s="6">
        <f>IF(Introduction!D17=0,Forecasts!D12+D25,Forecasts!E8-Forecasts!E10-Forecasts!E11)</f>
        <v>33038339182.110107</v>
      </c>
      <c r="F12" s="6">
        <f>IF(Introduction!E17=0,Forecasts!E12+E25,Forecasts!F8-Forecasts!F10-Forecasts!F11)</f>
        <v>33604945432.110107</v>
      </c>
      <c r="G12" s="6">
        <f>IF(Introduction!F17=0,Forecasts!F12+F25,Forecasts!G8-Forecasts!G10-Forecasts!G11)</f>
        <v>34029900119.610107</v>
      </c>
      <c r="H12" s="6">
        <f>IF(Introduction!G17=0,Forecasts!G12+G25,Forecasts!H8-Forecasts!H10-Forecasts!H11)</f>
        <v>34348616135.235107</v>
      </c>
      <c r="I12" s="6">
        <f>IF(Introduction!H17=0,Forecasts!H12+H25,Forecasts!I8-Forecasts!I10-Forecasts!I11)</f>
        <v>34587653146.953857</v>
      </c>
      <c r="J12" s="6">
        <f>IF(Introduction!I17=0,Forecasts!I12+I25,Forecasts!J8-Forecasts!J10-Forecasts!J11)</f>
        <v>34766930905.74292</v>
      </c>
      <c r="K12" s="6">
        <f>IF(Introduction!J17=0,Forecasts!J12+J25,Forecasts!K8-Forecasts!K10-Forecasts!K11)</f>
        <v>34901389224.834717</v>
      </c>
      <c r="L12" s="6">
        <f>IF(Introduction!K17=0,Forecasts!K12+K25,Forecasts!L8-Forecasts!L10-Forecasts!L11)</f>
        <v>35002232964.153564</v>
      </c>
      <c r="M12" s="45"/>
    </row>
    <row r="13" spans="1:13" ht="15.75" thickBot="1" x14ac:dyDescent="0.3">
      <c r="A13" s="1" t="s">
        <v>73</v>
      </c>
      <c r="B13" s="27">
        <f>SUM(B10:B12)</f>
        <v>73160000000</v>
      </c>
      <c r="C13" s="27">
        <f t="shared" ref="C13:L13" si="4">C8</f>
        <v>69293102574.788269</v>
      </c>
      <c r="D13" s="27">
        <f t="shared" si="4"/>
        <v>51969826931.091209</v>
      </c>
      <c r="E13" s="27">
        <f t="shared" si="4"/>
        <v>38977370198.318405</v>
      </c>
      <c r="F13" s="27">
        <f t="shared" si="4"/>
        <v>29233027648.738808</v>
      </c>
      <c r="G13" s="27">
        <f t="shared" si="4"/>
        <v>21924770736.554104</v>
      </c>
      <c r="H13" s="27">
        <f t="shared" si="4"/>
        <v>16443578052.415577</v>
      </c>
      <c r="I13" s="27">
        <f t="shared" si="4"/>
        <v>12332683539.311682</v>
      </c>
      <c r="J13" s="27">
        <f t="shared" si="4"/>
        <v>9249512654.4837627</v>
      </c>
      <c r="K13" s="27">
        <f t="shared" si="4"/>
        <v>6937134490.8628216</v>
      </c>
      <c r="L13" s="84">
        <f t="shared" si="4"/>
        <v>5202850868.1471167</v>
      </c>
    </row>
    <row r="14" spans="1:13" ht="15.75" thickTop="1" x14ac:dyDescent="0.25">
      <c r="L14" s="48"/>
    </row>
    <row r="15" spans="1:13" x14ac:dyDescent="0.25">
      <c r="A15" s="1" t="s">
        <v>75</v>
      </c>
      <c r="B15" s="30">
        <f>B10/B13</f>
        <v>0.42058501913613999</v>
      </c>
      <c r="C15" s="36">
        <f>IF(Introduction!$B$17=0,C10/C13,Forecasts!B15)</f>
        <v>0.42058501913613999</v>
      </c>
      <c r="D15" s="36">
        <f>IF(Introduction!$B$17=0,D10/D13,Forecasts!C15)</f>
        <v>0.42058501913613999</v>
      </c>
      <c r="E15" s="36">
        <f>IF(Introduction!$B$17=0,E10/E13,Forecasts!D15)</f>
        <v>0.42058501913613999</v>
      </c>
      <c r="F15" s="36">
        <f>IF(Introduction!$B$17=0,F10/F13,Forecasts!E15)</f>
        <v>0.42058501913613999</v>
      </c>
      <c r="G15" s="36">
        <f>IF(Introduction!$B$17=0,G10/G13,Forecasts!F15)</f>
        <v>0.42058501913613999</v>
      </c>
      <c r="H15" s="36">
        <f>IF(Introduction!$B$17=0,H10/H13,Forecasts!G15)</f>
        <v>0.42058501913613999</v>
      </c>
      <c r="I15" s="36">
        <f>IF(Introduction!$B$17=0,I10/I13,Forecasts!H15)</f>
        <v>0.42058501913613999</v>
      </c>
      <c r="J15" s="36">
        <f>IF(Introduction!$B$17=0,J10/J13,Forecasts!I15)</f>
        <v>0.42058501913613999</v>
      </c>
      <c r="K15" s="36">
        <f>IF(Introduction!$B$17=0,K10/K13,Forecasts!J15)</f>
        <v>0.42058501913613999</v>
      </c>
      <c r="L15" s="51">
        <f>IF(Introduction!$B$17=0,L10/L13,Forecasts!K15)</f>
        <v>0.42058501913613999</v>
      </c>
    </row>
    <row r="16" spans="1:13" x14ac:dyDescent="0.25">
      <c r="L16" s="48"/>
    </row>
    <row r="17" spans="1:12" s="25" customFormat="1" x14ac:dyDescent="0.25">
      <c r="A17" s="25" t="s">
        <v>76</v>
      </c>
      <c r="B17" s="26">
        <f t="shared" ref="B17:L17" si="5">B1</f>
        <v>42004</v>
      </c>
      <c r="C17" s="26">
        <f t="shared" si="5"/>
        <v>42369</v>
      </c>
      <c r="D17" s="26">
        <f t="shared" si="5"/>
        <v>42735</v>
      </c>
      <c r="E17" s="26">
        <f t="shared" si="5"/>
        <v>43100</v>
      </c>
      <c r="F17" s="26">
        <f t="shared" si="5"/>
        <v>43465</v>
      </c>
      <c r="G17" s="26">
        <f t="shared" si="5"/>
        <v>43830</v>
      </c>
      <c r="H17" s="26">
        <f t="shared" si="5"/>
        <v>44196</v>
      </c>
      <c r="I17" s="26">
        <f t="shared" si="5"/>
        <v>44561</v>
      </c>
      <c r="J17" s="26">
        <f t="shared" si="5"/>
        <v>44926</v>
      </c>
      <c r="K17" s="26">
        <f t="shared" si="5"/>
        <v>45291</v>
      </c>
      <c r="L17" s="52">
        <f t="shared" si="5"/>
        <v>45657</v>
      </c>
    </row>
    <row r="18" spans="1:12" x14ac:dyDescent="0.25">
      <c r="L18" s="48"/>
    </row>
    <row r="19" spans="1:12" x14ac:dyDescent="0.25">
      <c r="A19" s="1" t="s">
        <v>31</v>
      </c>
      <c r="B19" s="3">
        <f>Inputs!E40</f>
        <v>164130000000</v>
      </c>
      <c r="C19" s="3">
        <f>Inputs!E44</f>
        <v>155440000000</v>
      </c>
      <c r="D19" s="3">
        <f t="shared" ref="D19:L19" si="6">C19*(1+D20)</f>
        <v>116580000000</v>
      </c>
      <c r="E19" s="3">
        <f t="shared" si="6"/>
        <v>87435000000</v>
      </c>
      <c r="F19" s="3">
        <f t="shared" si="6"/>
        <v>65576250000</v>
      </c>
      <c r="G19" s="3">
        <f t="shared" si="6"/>
        <v>49182187500</v>
      </c>
      <c r="H19" s="3">
        <f t="shared" si="6"/>
        <v>36886640625</v>
      </c>
      <c r="I19" s="3">
        <f t="shared" si="6"/>
        <v>27664980468.75</v>
      </c>
      <c r="J19" s="3">
        <f t="shared" si="6"/>
        <v>20748735351.5625</v>
      </c>
      <c r="K19" s="3">
        <f t="shared" si="6"/>
        <v>15561551513.671875</v>
      </c>
      <c r="L19" s="50">
        <f t="shared" si="6"/>
        <v>11671163635.253906</v>
      </c>
    </row>
    <row r="20" spans="1:12" x14ac:dyDescent="0.25">
      <c r="A20" s="1" t="s">
        <v>88</v>
      </c>
      <c r="B20" s="57" t="s">
        <v>134</v>
      </c>
      <c r="C20" s="30">
        <v>-5.2999999999999999E-2</v>
      </c>
      <c r="D20" s="35">
        <v>-0.25</v>
      </c>
      <c r="E20" s="35">
        <v>-0.25</v>
      </c>
      <c r="F20" s="35">
        <v>-0.25</v>
      </c>
      <c r="G20" s="35">
        <v>-0.25</v>
      </c>
      <c r="H20" s="35">
        <v>-0.25</v>
      </c>
      <c r="I20" s="35">
        <v>-0.25</v>
      </c>
      <c r="J20" s="35">
        <v>-0.25</v>
      </c>
      <c r="K20" s="35">
        <v>-0.25</v>
      </c>
      <c r="L20" s="53">
        <f>K20</f>
        <v>-0.25</v>
      </c>
    </row>
    <row r="21" spans="1:12" ht="15.75" thickBot="1" x14ac:dyDescent="0.3">
      <c r="A21" s="1" t="s">
        <v>77</v>
      </c>
      <c r="B21" s="27">
        <f>Inputs!E49</f>
        <v>1151200000</v>
      </c>
      <c r="C21" s="27">
        <f>Inputs!E50</f>
        <v>1007300000.0000001</v>
      </c>
      <c r="D21" s="86">
        <f t="shared" ref="D21:L21" si="7">C21*(1+D22)</f>
        <v>755475000.00000012</v>
      </c>
      <c r="E21" s="86">
        <f t="shared" si="7"/>
        <v>566606250.00000012</v>
      </c>
      <c r="F21" s="86">
        <f t="shared" si="7"/>
        <v>424954687.50000012</v>
      </c>
      <c r="G21" s="86">
        <f t="shared" si="7"/>
        <v>318716015.62500012</v>
      </c>
      <c r="H21" s="86">
        <f t="shared" si="7"/>
        <v>239037011.71875009</v>
      </c>
      <c r="I21" s="86">
        <f t="shared" si="7"/>
        <v>179277758.78906256</v>
      </c>
      <c r="J21" s="86">
        <f t="shared" si="7"/>
        <v>134458319.09179693</v>
      </c>
      <c r="K21" s="86">
        <f t="shared" si="7"/>
        <v>100843739.3188477</v>
      </c>
      <c r="L21" s="87">
        <f t="shared" si="7"/>
        <v>75632804.489135772</v>
      </c>
    </row>
    <row r="22" spans="1:12" ht="15.75" thickTop="1" x14ac:dyDescent="0.25">
      <c r="A22" s="1" t="s">
        <v>89</v>
      </c>
      <c r="B22" s="85" t="s">
        <v>134</v>
      </c>
      <c r="C22" s="30">
        <f>(C21/B21)-1</f>
        <v>-0.12499999999999989</v>
      </c>
      <c r="D22" s="35">
        <v>-0.25</v>
      </c>
      <c r="E22" s="35">
        <v>-0.25</v>
      </c>
      <c r="F22" s="35">
        <v>-0.25</v>
      </c>
      <c r="G22" s="35">
        <v>-0.25</v>
      </c>
      <c r="H22" s="35">
        <v>-0.25</v>
      </c>
      <c r="I22" s="35">
        <v>-0.25</v>
      </c>
      <c r="J22" s="35">
        <v>-0.25</v>
      </c>
      <c r="K22" s="35">
        <v>-0.25</v>
      </c>
      <c r="L22" s="53">
        <f>K22</f>
        <v>-0.25</v>
      </c>
    </row>
    <row r="23" spans="1:12" x14ac:dyDescent="0.25">
      <c r="A23" s="1" t="s">
        <v>83</v>
      </c>
      <c r="B23" s="30">
        <f>Inputs!E34</f>
        <v>0</v>
      </c>
      <c r="C23" s="30">
        <f t="shared" ref="C23:K23" si="8">B23</f>
        <v>0</v>
      </c>
      <c r="D23" s="36">
        <f t="shared" si="8"/>
        <v>0</v>
      </c>
      <c r="E23" s="36">
        <f t="shared" si="8"/>
        <v>0</v>
      </c>
      <c r="F23" s="36">
        <f t="shared" si="8"/>
        <v>0</v>
      </c>
      <c r="G23" s="36">
        <f t="shared" si="8"/>
        <v>0</v>
      </c>
      <c r="H23" s="36">
        <f t="shared" si="8"/>
        <v>0</v>
      </c>
      <c r="I23" s="36">
        <f t="shared" si="8"/>
        <v>0</v>
      </c>
      <c r="J23" s="36">
        <f t="shared" si="8"/>
        <v>0</v>
      </c>
      <c r="K23" s="36">
        <f t="shared" si="8"/>
        <v>0</v>
      </c>
      <c r="L23" s="51">
        <f>K23</f>
        <v>0</v>
      </c>
    </row>
    <row r="24" spans="1:12" x14ac:dyDescent="0.25">
      <c r="A24" s="1" t="s">
        <v>86</v>
      </c>
      <c r="B24" s="3">
        <f t="shared" ref="B24:L24" si="9">B21*B23</f>
        <v>0</v>
      </c>
      <c r="C24" s="3">
        <f t="shared" si="9"/>
        <v>0</v>
      </c>
      <c r="D24" s="3">
        <f t="shared" si="9"/>
        <v>0</v>
      </c>
      <c r="E24" s="3">
        <f t="shared" si="9"/>
        <v>0</v>
      </c>
      <c r="F24" s="3">
        <f t="shared" si="9"/>
        <v>0</v>
      </c>
      <c r="G24" s="3">
        <f t="shared" si="9"/>
        <v>0</v>
      </c>
      <c r="H24" s="3">
        <f t="shared" si="9"/>
        <v>0</v>
      </c>
      <c r="I24" s="3">
        <f t="shared" si="9"/>
        <v>0</v>
      </c>
      <c r="J24" s="3">
        <f t="shared" si="9"/>
        <v>0</v>
      </c>
      <c r="K24" s="3">
        <f t="shared" si="9"/>
        <v>0</v>
      </c>
      <c r="L24" s="50">
        <f t="shared" si="9"/>
        <v>0</v>
      </c>
    </row>
    <row r="25" spans="1:12" x14ac:dyDescent="0.25">
      <c r="A25" s="1" t="s">
        <v>84</v>
      </c>
      <c r="B25" s="6">
        <f t="shared" ref="B25:L25" si="10">B21-B24</f>
        <v>1151200000</v>
      </c>
      <c r="C25" s="6">
        <f t="shared" si="10"/>
        <v>1007300000.0000001</v>
      </c>
      <c r="D25" s="6">
        <f t="shared" si="10"/>
        <v>755475000.00000012</v>
      </c>
      <c r="E25" s="6">
        <f t="shared" si="10"/>
        <v>566606250.00000012</v>
      </c>
      <c r="F25" s="6">
        <f t="shared" si="10"/>
        <v>424954687.50000012</v>
      </c>
      <c r="G25" s="6">
        <f t="shared" si="10"/>
        <v>318716015.62500012</v>
      </c>
      <c r="H25" s="6">
        <f t="shared" si="10"/>
        <v>239037011.71875009</v>
      </c>
      <c r="I25" s="6">
        <f t="shared" si="10"/>
        <v>179277758.78906256</v>
      </c>
      <c r="J25" s="6">
        <f t="shared" si="10"/>
        <v>134458319.09179693</v>
      </c>
      <c r="K25" s="6">
        <f t="shared" si="10"/>
        <v>100843739.3188477</v>
      </c>
      <c r="L25" s="49">
        <f t="shared" si="10"/>
        <v>75632804.489135772</v>
      </c>
    </row>
    <row r="26" spans="1:12" x14ac:dyDescent="0.25">
      <c r="B26" s="6"/>
      <c r="C26" s="6"/>
      <c r="L26" s="48"/>
    </row>
    <row r="27" spans="1:12" x14ac:dyDescent="0.25">
      <c r="A27" s="1" t="s">
        <v>87</v>
      </c>
      <c r="B27" s="5">
        <f>Inputs!E10</f>
        <v>3.412414689632759E-2</v>
      </c>
      <c r="C27" s="5">
        <f t="shared" ref="C27:L27" si="11">B27</f>
        <v>3.412414689632759E-2</v>
      </c>
      <c r="D27" s="46">
        <f t="shared" si="11"/>
        <v>3.412414689632759E-2</v>
      </c>
      <c r="E27" s="46">
        <f t="shared" si="11"/>
        <v>3.412414689632759E-2</v>
      </c>
      <c r="F27" s="46">
        <f t="shared" si="11"/>
        <v>3.412414689632759E-2</v>
      </c>
      <c r="G27" s="46">
        <f t="shared" si="11"/>
        <v>3.412414689632759E-2</v>
      </c>
      <c r="H27" s="46">
        <f t="shared" si="11"/>
        <v>3.412414689632759E-2</v>
      </c>
      <c r="I27" s="46">
        <f t="shared" si="11"/>
        <v>3.412414689632759E-2</v>
      </c>
      <c r="J27" s="46">
        <f t="shared" si="11"/>
        <v>3.412414689632759E-2</v>
      </c>
      <c r="K27" s="46">
        <f t="shared" si="11"/>
        <v>3.412414689632759E-2</v>
      </c>
      <c r="L27" s="54">
        <f t="shared" si="11"/>
        <v>3.412414689632759E-2</v>
      </c>
    </row>
    <row r="28" spans="1:12" x14ac:dyDescent="0.25">
      <c r="A28" s="1" t="s">
        <v>78</v>
      </c>
      <c r="B28" s="5">
        <f>Inputs!E31</f>
        <v>0.1981981981981982</v>
      </c>
      <c r="C28" s="46">
        <f t="shared" ref="C28:L28" si="12">B28</f>
        <v>0.1981981981981982</v>
      </c>
      <c r="D28" s="46">
        <f t="shared" si="12"/>
        <v>0.1981981981981982</v>
      </c>
      <c r="E28" s="46">
        <f t="shared" si="12"/>
        <v>0.1981981981981982</v>
      </c>
      <c r="F28" s="46">
        <f t="shared" si="12"/>
        <v>0.1981981981981982</v>
      </c>
      <c r="G28" s="46">
        <f t="shared" si="12"/>
        <v>0.1981981981981982</v>
      </c>
      <c r="H28" s="46">
        <f t="shared" si="12"/>
        <v>0.1981981981981982</v>
      </c>
      <c r="I28" s="46">
        <f t="shared" si="12"/>
        <v>0.1981981981981982</v>
      </c>
      <c r="J28" s="46">
        <f t="shared" si="12"/>
        <v>0.1981981981981982</v>
      </c>
      <c r="K28" s="46">
        <f t="shared" si="12"/>
        <v>0.1981981981981982</v>
      </c>
      <c r="L28" s="54">
        <f t="shared" si="12"/>
        <v>0.1981981981981982</v>
      </c>
    </row>
    <row r="29" spans="1:12" x14ac:dyDescent="0.25">
      <c r="A29" s="1" t="s">
        <v>79</v>
      </c>
      <c r="B29" s="6">
        <f t="shared" ref="B29:L29" si="13">(B27*(1-B28))*B10</f>
        <v>841891891.89189184</v>
      </c>
      <c r="C29" s="6">
        <f t="shared" si="13"/>
        <v>797393401.06270397</v>
      </c>
      <c r="D29" s="6">
        <f t="shared" si="13"/>
        <v>598045050.79702806</v>
      </c>
      <c r="E29" s="6">
        <f t="shared" si="13"/>
        <v>448533788.09777105</v>
      </c>
      <c r="F29" s="6">
        <f t="shared" si="13"/>
        <v>336400341.07332832</v>
      </c>
      <c r="G29" s="6">
        <f t="shared" si="13"/>
        <v>252300255.80499619</v>
      </c>
      <c r="H29" s="6">
        <f t="shared" si="13"/>
        <v>189225191.85374716</v>
      </c>
      <c r="I29" s="6">
        <f t="shared" si="13"/>
        <v>141918893.89031035</v>
      </c>
      <c r="J29" s="6">
        <f t="shared" si="13"/>
        <v>106439170.41773278</v>
      </c>
      <c r="K29" s="6">
        <f t="shared" si="13"/>
        <v>79829377.813299581</v>
      </c>
      <c r="L29" s="49">
        <f t="shared" si="13"/>
        <v>59872033.359974697</v>
      </c>
    </row>
    <row r="30" spans="1:12" ht="15.75" thickBot="1" x14ac:dyDescent="0.3">
      <c r="A30" s="1" t="s">
        <v>59</v>
      </c>
      <c r="B30" s="27">
        <f t="shared" ref="B30:L30" si="14">SUM(B29,B21)</f>
        <v>1993091891.891892</v>
      </c>
      <c r="C30" s="27">
        <f t="shared" si="14"/>
        <v>1804693401.0627041</v>
      </c>
      <c r="D30" s="27">
        <f t="shared" si="14"/>
        <v>1353520050.7970281</v>
      </c>
      <c r="E30" s="27">
        <f t="shared" si="14"/>
        <v>1015140038.0977712</v>
      </c>
      <c r="F30" s="27">
        <f t="shared" si="14"/>
        <v>761355028.5733285</v>
      </c>
      <c r="G30" s="27">
        <f t="shared" si="14"/>
        <v>571016271.42999625</v>
      </c>
      <c r="H30" s="27">
        <f t="shared" si="14"/>
        <v>428262203.57249725</v>
      </c>
      <c r="I30" s="27">
        <f t="shared" si="14"/>
        <v>321196652.67937291</v>
      </c>
      <c r="J30" s="27">
        <f t="shared" si="14"/>
        <v>240897489.50952971</v>
      </c>
      <c r="K30" s="113">
        <f t="shared" si="14"/>
        <v>180673117.13214728</v>
      </c>
      <c r="L30" s="84">
        <f t="shared" si="14"/>
        <v>135504837.84911048</v>
      </c>
    </row>
    <row r="31" spans="1:12" ht="15.75" thickTop="1" x14ac:dyDescent="0.25">
      <c r="A31" s="1" t="s">
        <v>60</v>
      </c>
      <c r="B31" s="30">
        <f t="shared" ref="B31:L31" si="15">B30/B19</f>
        <v>1.2143373495959861E-2</v>
      </c>
      <c r="C31" s="30">
        <f t="shared" si="15"/>
        <v>1.161022517410386E-2</v>
      </c>
      <c r="D31" s="30">
        <f t="shared" si="15"/>
        <v>1.161022517410386E-2</v>
      </c>
      <c r="E31" s="30">
        <f t="shared" si="15"/>
        <v>1.1610225174103862E-2</v>
      </c>
      <c r="F31" s="30">
        <f t="shared" si="15"/>
        <v>1.1610225174103863E-2</v>
      </c>
      <c r="G31" s="30">
        <f t="shared" si="15"/>
        <v>1.1610225174103862E-2</v>
      </c>
      <c r="H31" s="30">
        <f t="shared" si="15"/>
        <v>1.1610225174103863E-2</v>
      </c>
      <c r="I31" s="30">
        <f t="shared" si="15"/>
        <v>1.1610225174103862E-2</v>
      </c>
      <c r="J31" s="30">
        <f t="shared" si="15"/>
        <v>1.1610225174103863E-2</v>
      </c>
      <c r="K31" s="30">
        <f t="shared" si="15"/>
        <v>1.1610225174103863E-2</v>
      </c>
      <c r="L31" s="55">
        <f t="shared" si="15"/>
        <v>1.1610225174103865E-2</v>
      </c>
    </row>
    <row r="32" spans="1:12" x14ac:dyDescent="0.25">
      <c r="L32" s="48"/>
    </row>
    <row r="33" spans="1:12" x14ac:dyDescent="0.25">
      <c r="A33" s="1" t="s">
        <v>80</v>
      </c>
      <c r="B33" s="30">
        <f>B6/B19</f>
        <v>3.1679887893742764E-2</v>
      </c>
      <c r="C33" s="36">
        <f t="shared" ref="C33:L33" si="16">B33</f>
        <v>3.1679887893742764E-2</v>
      </c>
      <c r="D33" s="36">
        <f t="shared" si="16"/>
        <v>3.1679887893742764E-2</v>
      </c>
      <c r="E33" s="36">
        <f t="shared" si="16"/>
        <v>3.1679887893742764E-2</v>
      </c>
      <c r="F33" s="36">
        <f t="shared" si="16"/>
        <v>3.1679887893742764E-2</v>
      </c>
      <c r="G33" s="36">
        <f t="shared" si="16"/>
        <v>3.1679887893742764E-2</v>
      </c>
      <c r="H33" s="36">
        <f t="shared" si="16"/>
        <v>3.1679887893742764E-2</v>
      </c>
      <c r="I33" s="36">
        <f t="shared" si="16"/>
        <v>3.1679887893742764E-2</v>
      </c>
      <c r="J33" s="36">
        <f t="shared" si="16"/>
        <v>3.1679887893742764E-2</v>
      </c>
      <c r="K33" s="36">
        <f t="shared" si="16"/>
        <v>3.1679887893742764E-2</v>
      </c>
      <c r="L33" s="51">
        <f t="shared" si="16"/>
        <v>3.1679887893742764E-2</v>
      </c>
    </row>
    <row r="34" spans="1:12" x14ac:dyDescent="0.25">
      <c r="A34" s="1" t="s">
        <v>81</v>
      </c>
      <c r="B34" s="5">
        <f>B7/B19</f>
        <v>0.41410692743556937</v>
      </c>
      <c r="C34" s="46">
        <f t="shared" ref="C34:L34" si="17">B34</f>
        <v>0.41410692743556937</v>
      </c>
      <c r="D34" s="46">
        <f t="shared" si="17"/>
        <v>0.41410692743556937</v>
      </c>
      <c r="E34" s="46">
        <f t="shared" si="17"/>
        <v>0.41410692743556937</v>
      </c>
      <c r="F34" s="46">
        <f t="shared" si="17"/>
        <v>0.41410692743556937</v>
      </c>
      <c r="G34" s="46">
        <f t="shared" si="17"/>
        <v>0.41410692743556937</v>
      </c>
      <c r="H34" s="46">
        <f t="shared" si="17"/>
        <v>0.41410692743556937</v>
      </c>
      <c r="I34" s="46">
        <f t="shared" si="17"/>
        <v>0.41410692743556937</v>
      </c>
      <c r="J34" s="46">
        <f t="shared" si="17"/>
        <v>0.41410692743556937</v>
      </c>
      <c r="K34" s="46">
        <f t="shared" si="17"/>
        <v>0.41410692743556937</v>
      </c>
      <c r="L34" s="54">
        <f t="shared" si="17"/>
        <v>0.41410692743556937</v>
      </c>
    </row>
    <row r="35" spans="1:12" x14ac:dyDescent="0.25">
      <c r="A35" s="1" t="s">
        <v>85</v>
      </c>
      <c r="B35" s="30">
        <f>B11/B19</f>
        <v>5.7088892950709805E-2</v>
      </c>
      <c r="C35" s="36">
        <f t="shared" ref="C35:L35" si="18">B35</f>
        <v>5.7088892950709805E-2</v>
      </c>
      <c r="D35" s="36">
        <f t="shared" si="18"/>
        <v>5.7088892950709805E-2</v>
      </c>
      <c r="E35" s="36">
        <f t="shared" si="18"/>
        <v>5.7088892950709805E-2</v>
      </c>
      <c r="F35" s="36">
        <f t="shared" si="18"/>
        <v>5.7088892950709805E-2</v>
      </c>
      <c r="G35" s="36">
        <f t="shared" si="18"/>
        <v>5.7088892950709805E-2</v>
      </c>
      <c r="H35" s="36">
        <f t="shared" si="18"/>
        <v>5.7088892950709805E-2</v>
      </c>
      <c r="I35" s="36">
        <f t="shared" si="18"/>
        <v>5.7088892950709805E-2</v>
      </c>
      <c r="J35" s="36">
        <f t="shared" si="18"/>
        <v>5.7088892950709805E-2</v>
      </c>
      <c r="K35" s="36">
        <f t="shared" si="18"/>
        <v>5.7088892950709805E-2</v>
      </c>
      <c r="L35" s="51">
        <f t="shared" si="18"/>
        <v>5.7088892950709805E-2</v>
      </c>
    </row>
    <row r="36" spans="1:12" x14ac:dyDescent="0.25">
      <c r="L36" s="48"/>
    </row>
    <row r="37" spans="1:12" x14ac:dyDescent="0.25">
      <c r="A37" s="1" t="s">
        <v>90</v>
      </c>
      <c r="B37" s="5">
        <f t="shared" ref="B37:L37" si="19">B21/B12</f>
        <v>3.4863718958207147E-2</v>
      </c>
      <c r="C37" s="5">
        <f t="shared" si="19"/>
        <v>3.2207252733627248E-2</v>
      </c>
      <c r="D37" s="5">
        <f t="shared" si="19"/>
        <v>2.340173398922437E-2</v>
      </c>
      <c r="E37" s="5">
        <f t="shared" si="19"/>
        <v>1.7149961651426203E-2</v>
      </c>
      <c r="F37" s="5">
        <f t="shared" si="19"/>
        <v>1.2645599688846647E-2</v>
      </c>
      <c r="G37" s="5">
        <f t="shared" si="19"/>
        <v>9.3657640635076821E-3</v>
      </c>
      <c r="H37" s="5">
        <f t="shared" si="19"/>
        <v>6.9591453343456205E-3</v>
      </c>
      <c r="I37" s="5">
        <f t="shared" si="19"/>
        <v>5.1832877480110732E-3</v>
      </c>
      <c r="J37" s="5">
        <f t="shared" si="19"/>
        <v>3.8674198610262334E-3</v>
      </c>
      <c r="K37" s="5">
        <f t="shared" si="19"/>
        <v>2.889390409912122E-3</v>
      </c>
      <c r="L37" s="56">
        <f t="shared" si="19"/>
        <v>2.1607994143285868E-3</v>
      </c>
    </row>
    <row r="38" spans="1:12" x14ac:dyDescent="0.25">
      <c r="A38" s="1" t="s">
        <v>7</v>
      </c>
      <c r="B38" s="46">
        <f>Inputs!E6</f>
        <v>9.6172000000000007E-2</v>
      </c>
      <c r="C38" s="46">
        <f t="shared" ref="C38:L38" si="20">B38</f>
        <v>9.6172000000000007E-2</v>
      </c>
      <c r="D38" s="46">
        <f t="shared" si="20"/>
        <v>9.6172000000000007E-2</v>
      </c>
      <c r="E38" s="46">
        <f t="shared" si="20"/>
        <v>9.6172000000000007E-2</v>
      </c>
      <c r="F38" s="46">
        <f t="shared" si="20"/>
        <v>9.6172000000000007E-2</v>
      </c>
      <c r="G38" s="46">
        <f t="shared" si="20"/>
        <v>9.6172000000000007E-2</v>
      </c>
      <c r="H38" s="46">
        <f t="shared" si="20"/>
        <v>9.6172000000000007E-2</v>
      </c>
      <c r="I38" s="46">
        <f t="shared" si="20"/>
        <v>9.6172000000000007E-2</v>
      </c>
      <c r="J38" s="46">
        <f t="shared" si="20"/>
        <v>9.6172000000000007E-2</v>
      </c>
      <c r="K38" s="46">
        <f t="shared" si="20"/>
        <v>9.6172000000000007E-2</v>
      </c>
      <c r="L38" s="54">
        <f t="shared" si="20"/>
        <v>9.6172000000000007E-2</v>
      </c>
    </row>
    <row r="39" spans="1:12" s="47" customFormat="1" x14ac:dyDescent="0.25">
      <c r="A39" s="47" t="s">
        <v>91</v>
      </c>
      <c r="B39" s="88">
        <f t="shared" ref="B39:L39" si="21">B37-B38</f>
        <v>-6.130828104179286E-2</v>
      </c>
      <c r="C39" s="88">
        <f t="shared" si="21"/>
        <v>-6.396474726637276E-2</v>
      </c>
      <c r="D39" s="88">
        <f t="shared" si="21"/>
        <v>-7.2770266010775631E-2</v>
      </c>
      <c r="E39" s="88">
        <f t="shared" si="21"/>
        <v>-7.9022038348573798E-2</v>
      </c>
      <c r="F39" s="88">
        <f t="shared" si="21"/>
        <v>-8.3526400311153354E-2</v>
      </c>
      <c r="G39" s="88">
        <f t="shared" si="21"/>
        <v>-8.6806235936492324E-2</v>
      </c>
      <c r="H39" s="88">
        <f t="shared" si="21"/>
        <v>-8.9212854665654387E-2</v>
      </c>
      <c r="I39" s="88">
        <f t="shared" si="21"/>
        <v>-9.0988712251988929E-2</v>
      </c>
      <c r="J39" s="88">
        <f t="shared" si="21"/>
        <v>-9.2304580138973774E-2</v>
      </c>
      <c r="K39" s="88">
        <f t="shared" si="21"/>
        <v>-9.3282609590087884E-2</v>
      </c>
      <c r="L39" s="89">
        <f t="shared" si="21"/>
        <v>-9.4011200585671417E-2</v>
      </c>
    </row>
    <row r="40" spans="1:12" s="23" customFormat="1" ht="15.75" thickBot="1" x14ac:dyDescent="0.3">
      <c r="A40" s="23" t="s">
        <v>92</v>
      </c>
      <c r="B40" s="90">
        <f t="shared" ref="B40:L40" si="22">B39*B12</f>
        <v>-2024399440.0000002</v>
      </c>
      <c r="C40" s="90">
        <f t="shared" si="22"/>
        <v>-2000533558.5218933</v>
      </c>
      <c r="D40" s="90">
        <f t="shared" si="22"/>
        <v>-2349232614.1218934</v>
      </c>
      <c r="E40" s="90">
        <f t="shared" si="22"/>
        <v>-2610756905.8218932</v>
      </c>
      <c r="F40" s="90">
        <f t="shared" si="22"/>
        <v>-2806900124.5968933</v>
      </c>
      <c r="G40" s="90">
        <f t="shared" si="22"/>
        <v>-2954007538.6781435</v>
      </c>
      <c r="H40" s="90">
        <f t="shared" si="22"/>
        <v>-3064338099.2390809</v>
      </c>
      <c r="I40" s="90">
        <f t="shared" si="22"/>
        <v>-3147086019.6597838</v>
      </c>
      <c r="J40" s="90">
        <f t="shared" si="22"/>
        <v>-3209146959.9753113</v>
      </c>
      <c r="K40" s="90">
        <f t="shared" si="22"/>
        <v>-3255692665.211957</v>
      </c>
      <c r="L40" s="91">
        <f t="shared" si="22"/>
        <v>-3290601944.139441</v>
      </c>
    </row>
    <row r="41" spans="1:12" ht="15.75" thickTop="1" x14ac:dyDescent="0.25"/>
    <row r="42" spans="1:12" x14ac:dyDescent="0.25">
      <c r="A42" s="1" t="s">
        <v>93</v>
      </c>
      <c r="B42" s="6">
        <f t="shared" ref="B42:K42" si="23">B21</f>
        <v>1151200000</v>
      </c>
      <c r="C42" s="6">
        <f t="shared" si="23"/>
        <v>1007300000.0000001</v>
      </c>
      <c r="D42" s="6">
        <f t="shared" si="23"/>
        <v>755475000.00000012</v>
      </c>
      <c r="E42" s="6">
        <f t="shared" si="23"/>
        <v>566606250.00000012</v>
      </c>
      <c r="F42" s="6">
        <f t="shared" si="23"/>
        <v>424954687.50000012</v>
      </c>
      <c r="G42" s="6">
        <f t="shared" si="23"/>
        <v>318716015.62500012</v>
      </c>
      <c r="H42" s="6">
        <f t="shared" si="23"/>
        <v>239037011.71875009</v>
      </c>
      <c r="I42" s="6">
        <f t="shared" si="23"/>
        <v>179277758.78906256</v>
      </c>
      <c r="J42" s="6">
        <f t="shared" si="23"/>
        <v>134458319.09179693</v>
      </c>
      <c r="K42" s="6">
        <f t="shared" si="23"/>
        <v>100843739.3188477</v>
      </c>
      <c r="L42" s="6"/>
    </row>
    <row r="43" spans="1:12" x14ac:dyDescent="0.25">
      <c r="A43" s="1" t="s">
        <v>94</v>
      </c>
      <c r="B43" s="6">
        <f t="shared" ref="B43:K43" si="24">B6-C6</f>
        <v>275298225.79662514</v>
      </c>
      <c r="C43" s="6">
        <f t="shared" si="24"/>
        <v>1231080443.5508432</v>
      </c>
      <c r="D43" s="6">
        <f t="shared" si="24"/>
        <v>923310332.66313314</v>
      </c>
      <c r="E43" s="6">
        <f t="shared" si="24"/>
        <v>692482749.4973495</v>
      </c>
      <c r="F43" s="6">
        <f t="shared" si="24"/>
        <v>519362062.1230123</v>
      </c>
      <c r="G43" s="6">
        <f t="shared" si="24"/>
        <v>389521546.59225917</v>
      </c>
      <c r="H43" s="6">
        <f t="shared" si="24"/>
        <v>292141159.94419432</v>
      </c>
      <c r="I43" s="6">
        <f t="shared" si="24"/>
        <v>219105869.95814586</v>
      </c>
      <c r="J43" s="6">
        <f t="shared" si="24"/>
        <v>164329402.46860933</v>
      </c>
      <c r="K43" s="6">
        <f t="shared" si="24"/>
        <v>123247051.851457</v>
      </c>
      <c r="L43" s="6"/>
    </row>
    <row r="44" spans="1:12" x14ac:dyDescent="0.25">
      <c r="A44" s="1" t="s">
        <v>95</v>
      </c>
      <c r="B44" s="6">
        <f t="shared" ref="B44:K44" si="25">B7-C7</f>
        <v>3598589199.4151001</v>
      </c>
      <c r="C44" s="6">
        <f t="shared" si="25"/>
        <v>16092195200.146225</v>
      </c>
      <c r="D44" s="6">
        <f t="shared" si="25"/>
        <v>12069146400.109665</v>
      </c>
      <c r="E44" s="6">
        <f t="shared" si="25"/>
        <v>9051859800.0822525</v>
      </c>
      <c r="F44" s="6">
        <f t="shared" si="25"/>
        <v>6788894850.0616913</v>
      </c>
      <c r="G44" s="6">
        <f t="shared" si="25"/>
        <v>5091671137.5462666</v>
      </c>
      <c r="H44" s="6">
        <f t="shared" si="25"/>
        <v>3818753353.1597004</v>
      </c>
      <c r="I44" s="6">
        <f t="shared" si="25"/>
        <v>2864065014.8697739</v>
      </c>
      <c r="J44" s="6">
        <f t="shared" si="25"/>
        <v>2148048761.1523314</v>
      </c>
      <c r="K44" s="6">
        <f t="shared" si="25"/>
        <v>1611036570.8642483</v>
      </c>
      <c r="L44" s="6"/>
    </row>
    <row r="45" spans="1:12" x14ac:dyDescent="0.25">
      <c r="A45" s="1" t="s">
        <v>96</v>
      </c>
      <c r="B45" s="6">
        <f t="shared" ref="B45:K45" si="26">C10-B10</f>
        <v>-1626359127.5801659</v>
      </c>
      <c r="C45" s="6">
        <f t="shared" si="26"/>
        <v>-7285910218.1049538</v>
      </c>
      <c r="D45" s="6">
        <f t="shared" si="26"/>
        <v>-5464432663.578722</v>
      </c>
      <c r="E45" s="6">
        <f t="shared" si="26"/>
        <v>-4098324497.6840382</v>
      </c>
      <c r="F45" s="6">
        <f t="shared" si="26"/>
        <v>-3073743373.263031</v>
      </c>
      <c r="G45" s="6">
        <f t="shared" si="26"/>
        <v>-2305307529.9472723</v>
      </c>
      <c r="H45" s="6">
        <f t="shared" si="26"/>
        <v>-1728980647.4604549</v>
      </c>
      <c r="I45" s="6">
        <f t="shared" si="26"/>
        <v>-1296735485.5953398</v>
      </c>
      <c r="J45" s="6">
        <f t="shared" si="26"/>
        <v>-972551614.19650555</v>
      </c>
      <c r="K45" s="6">
        <f t="shared" si="26"/>
        <v>-729413710.64737892</v>
      </c>
      <c r="L45" s="6"/>
    </row>
    <row r="46" spans="1:12" x14ac:dyDescent="0.25">
      <c r="A46" s="1" t="s">
        <v>97</v>
      </c>
      <c r="B46" s="6">
        <f t="shared" ref="B46:K46" si="27">C11-B11</f>
        <v>-496102479.7416687</v>
      </c>
      <c r="C46" s="6">
        <f t="shared" si="27"/>
        <v>-2218474380.0645819</v>
      </c>
      <c r="D46" s="6">
        <f t="shared" si="27"/>
        <v>-1663855785.0484381</v>
      </c>
      <c r="E46" s="6">
        <f t="shared" si="27"/>
        <v>-1247891838.7863274</v>
      </c>
      <c r="F46" s="6">
        <f t="shared" si="27"/>
        <v>-935918879.089746</v>
      </c>
      <c r="G46" s="6">
        <f t="shared" si="27"/>
        <v>-701939159.31730962</v>
      </c>
      <c r="H46" s="6">
        <f t="shared" si="27"/>
        <v>-526454369.48798203</v>
      </c>
      <c r="I46" s="6">
        <f t="shared" si="27"/>
        <v>-394840777.11598659</v>
      </c>
      <c r="J46" s="6">
        <f t="shared" si="27"/>
        <v>-296130582.83699</v>
      </c>
      <c r="K46" s="6">
        <f t="shared" si="27"/>
        <v>-222097937.12774241</v>
      </c>
      <c r="L46" s="6"/>
    </row>
    <row r="47" spans="1:12" s="23" customFormat="1" ht="15.75" thickBot="1" x14ac:dyDescent="0.3">
      <c r="A47" s="23" t="s">
        <v>98</v>
      </c>
      <c r="B47" s="90">
        <f t="shared" ref="B47:K47" si="28">SUM(B42:B46)</f>
        <v>2902625817.8898907</v>
      </c>
      <c r="C47" s="90">
        <f t="shared" si="28"/>
        <v>8826191045.5275307</v>
      </c>
      <c r="D47" s="90">
        <f t="shared" si="28"/>
        <v>6619643284.1456385</v>
      </c>
      <c r="E47" s="90">
        <f t="shared" si="28"/>
        <v>4964732463.1092358</v>
      </c>
      <c r="F47" s="90">
        <f t="shared" si="28"/>
        <v>3723549347.3319268</v>
      </c>
      <c r="G47" s="90">
        <f t="shared" si="28"/>
        <v>2792662010.4989443</v>
      </c>
      <c r="H47" s="90">
        <f t="shared" si="28"/>
        <v>2094496507.8742082</v>
      </c>
      <c r="I47" s="90">
        <f t="shared" si="28"/>
        <v>1570872380.9056561</v>
      </c>
      <c r="J47" s="90">
        <f t="shared" si="28"/>
        <v>1178154285.6792421</v>
      </c>
      <c r="K47" s="90">
        <f t="shared" si="28"/>
        <v>883615714.25943172</v>
      </c>
      <c r="L47" s="92"/>
    </row>
    <row r="48" spans="1:12" ht="15.75" thickTop="1" x14ac:dyDescent="0.25">
      <c r="B48" s="6"/>
      <c r="C48" s="6"/>
      <c r="D48" s="6"/>
      <c r="E48" s="6"/>
      <c r="F48" s="6"/>
      <c r="G48" s="6"/>
      <c r="H48" s="6"/>
      <c r="I48" s="6"/>
      <c r="J48" s="6"/>
      <c r="K48" s="6"/>
    </row>
    <row r="49" spans="1:12" x14ac:dyDescent="0.25">
      <c r="A49" s="1" t="s">
        <v>108</v>
      </c>
      <c r="B49" s="58">
        <f>1/((1+Inputs!$E$6)^1)</f>
        <v>0.91226559335578727</v>
      </c>
      <c r="C49" s="58">
        <f>1/((1+Inputs!$E$6)^2)</f>
        <v>0.83222851282078669</v>
      </c>
      <c r="D49" s="58">
        <f>1/((1+Inputs!$E$6)^3)</f>
        <v>0.75921343805605934</v>
      </c>
      <c r="E49" s="58">
        <f>1/((1+Inputs!$E$6)^4)</f>
        <v>0.69260429755189834</v>
      </c>
      <c r="F49" s="58">
        <f>1/((1+Inputs!$E$6)^5)</f>
        <v>0.63183907046695076</v>
      </c>
      <c r="G49" s="58">
        <f>1/((1+Inputs!$E$6)^6)</f>
        <v>0.57640504452490193</v>
      </c>
      <c r="H49" s="58">
        <f>1/((1+Inputs!$E$6)^7)</f>
        <v>0.52583448995677862</v>
      </c>
      <c r="I49" s="58">
        <f>1/((1+Inputs!$E$6)^8)</f>
        <v>0.4797007129873585</v>
      </c>
      <c r="J49" s="58">
        <f>1/((1+Inputs!$E$6)^9)</f>
        <v>0.43761445556660683</v>
      </c>
      <c r="K49" s="58">
        <f>1/((1+Inputs!$E$6)^10)</f>
        <v>0.39922061096854039</v>
      </c>
      <c r="L49" s="58"/>
    </row>
    <row r="50" spans="1:12" x14ac:dyDescent="0.25">
      <c r="B50" s="58"/>
      <c r="C50" s="58"/>
      <c r="D50" s="58"/>
      <c r="E50" s="58"/>
      <c r="F50" s="58"/>
      <c r="G50" s="58"/>
      <c r="H50" s="58"/>
      <c r="I50" s="58"/>
      <c r="J50" s="58"/>
      <c r="K50" s="58"/>
      <c r="L50" s="58"/>
    </row>
    <row r="51" spans="1:12" x14ac:dyDescent="0.25">
      <c r="A51" s="1" t="s">
        <v>109</v>
      </c>
      <c r="B51" s="3">
        <f t="shared" ref="B51:K51" si="29">B49*B40</f>
        <v>-1846789956.3207238</v>
      </c>
      <c r="C51" s="3">
        <f t="shared" si="29"/>
        <v>-1664901068.2567515</v>
      </c>
      <c r="D51" s="3">
        <f t="shared" si="29"/>
        <v>-1783568969.7609065</v>
      </c>
      <c r="E51" s="3">
        <f t="shared" si="29"/>
        <v>-1808221452.8355401</v>
      </c>
      <c r="F51" s="3">
        <f t="shared" si="29"/>
        <v>-1773509165.6188693</v>
      </c>
      <c r="G51" s="3">
        <f t="shared" si="29"/>
        <v>-1702704846.8586712</v>
      </c>
      <c r="H51" s="3">
        <f t="shared" si="29"/>
        <v>-1611334661.4685066</v>
      </c>
      <c r="I51" s="3">
        <f t="shared" si="29"/>
        <v>-1509659407.4633465</v>
      </c>
      <c r="J51" s="3">
        <f t="shared" si="29"/>
        <v>-1404369099.7228272</v>
      </c>
      <c r="K51" s="3">
        <f t="shared" si="29"/>
        <v>-1299739614.9317131</v>
      </c>
      <c r="L51" s="58"/>
    </row>
    <row r="52" spans="1:12" x14ac:dyDescent="0.25">
      <c r="B52" s="3"/>
      <c r="C52" s="3"/>
      <c r="D52" s="3"/>
      <c r="E52" s="3"/>
      <c r="F52" s="3"/>
      <c r="G52" s="3"/>
      <c r="H52" s="3"/>
      <c r="I52" s="3"/>
      <c r="J52" s="3"/>
      <c r="K52" s="3"/>
      <c r="L52" s="58"/>
    </row>
    <row r="53" spans="1:12" x14ac:dyDescent="0.25">
      <c r="A53" s="1" t="s">
        <v>110</v>
      </c>
      <c r="B53" s="3">
        <f t="shared" ref="B53:K53" si="30">B49*B47</f>
        <v>2647965664.0471482</v>
      </c>
      <c r="C53" s="3">
        <f t="shared" si="30"/>
        <v>7345407847.6915216</v>
      </c>
      <c r="D53" s="3">
        <f t="shared" si="30"/>
        <v>5025722136.4609137</v>
      </c>
      <c r="E53" s="3">
        <f t="shared" si="30"/>
        <v>3438595040.1448784</v>
      </c>
      <c r="F53" s="3">
        <f t="shared" si="30"/>
        <v>2352683958.4560256</v>
      </c>
      <c r="G53" s="3">
        <f t="shared" si="30"/>
        <v>1609704470.5046461</v>
      </c>
      <c r="H53" s="3">
        <f t="shared" si="30"/>
        <v>1101358502.9342883</v>
      </c>
      <c r="I53" s="3">
        <f t="shared" si="30"/>
        <v>753548601.13259268</v>
      </c>
      <c r="J53" s="3">
        <f t="shared" si="30"/>
        <v>515577346.30098611</v>
      </c>
      <c r="K53" s="3">
        <f t="shared" si="30"/>
        <v>352757605.30805355</v>
      </c>
      <c r="L53" s="58"/>
    </row>
    <row r="55" spans="1:12" x14ac:dyDescent="0.25">
      <c r="A55" s="23" t="s">
        <v>99</v>
      </c>
    </row>
    <row r="56" spans="1:12" ht="7.5" customHeight="1" x14ac:dyDescent="0.25"/>
    <row r="57" spans="1:12" x14ac:dyDescent="0.25">
      <c r="A57" s="43" t="s">
        <v>100</v>
      </c>
      <c r="B57" s="73"/>
      <c r="C57" s="73"/>
      <c r="D57" s="73" t="s">
        <v>101</v>
      </c>
      <c r="E57" s="130"/>
      <c r="F57" s="73"/>
      <c r="G57" s="73"/>
      <c r="H57" s="73"/>
      <c r="I57" s="73"/>
      <c r="J57" s="74" t="s">
        <v>102</v>
      </c>
      <c r="K57" s="75">
        <f>K76</f>
        <v>764268063.22013402</v>
      </c>
    </row>
    <row r="58" spans="1:12" x14ac:dyDescent="0.25">
      <c r="J58" s="57"/>
    </row>
    <row r="59" spans="1:12" x14ac:dyDescent="0.25">
      <c r="A59" s="38" t="s">
        <v>103</v>
      </c>
      <c r="B59" s="76"/>
      <c r="C59" s="76"/>
      <c r="D59" s="76" t="s">
        <v>104</v>
      </c>
      <c r="E59" s="76"/>
      <c r="F59" s="76"/>
      <c r="G59" s="76"/>
      <c r="H59" s="76"/>
      <c r="I59" s="76"/>
      <c r="J59" s="77" t="s">
        <v>137</v>
      </c>
      <c r="K59" s="78">
        <f>Forecasts!K40</f>
        <v>-3255692665.211957</v>
      </c>
    </row>
    <row r="60" spans="1:12" x14ac:dyDescent="0.25">
      <c r="A60" s="7"/>
      <c r="B60" s="31"/>
      <c r="C60" s="31"/>
      <c r="D60" s="31"/>
      <c r="E60" s="31"/>
      <c r="F60" s="31"/>
      <c r="G60" s="31"/>
      <c r="H60" s="31"/>
      <c r="I60" s="31"/>
      <c r="J60" s="79" t="s">
        <v>7</v>
      </c>
      <c r="K60" s="80">
        <f>Inputs!E6</f>
        <v>9.6172000000000007E-2</v>
      </c>
    </row>
    <row r="61" spans="1:12" x14ac:dyDescent="0.25">
      <c r="A61" s="7"/>
      <c r="B61" s="31"/>
      <c r="C61" s="31"/>
      <c r="D61" s="31"/>
      <c r="E61" s="31"/>
      <c r="F61" s="31"/>
      <c r="G61" s="31"/>
      <c r="H61" s="31"/>
      <c r="I61" s="31"/>
      <c r="J61" s="79" t="s">
        <v>135</v>
      </c>
      <c r="K61" s="15">
        <f>K59/K60</f>
        <v>-33852812307.240742</v>
      </c>
    </row>
    <row r="62" spans="1:12" x14ac:dyDescent="0.25">
      <c r="A62" s="7"/>
      <c r="B62" s="31"/>
      <c r="C62" s="31"/>
      <c r="D62" s="31"/>
      <c r="E62" s="31"/>
      <c r="F62" s="31"/>
      <c r="G62" s="31"/>
      <c r="H62" s="31"/>
      <c r="I62" s="31"/>
      <c r="J62" s="79" t="s">
        <v>136</v>
      </c>
      <c r="K62" s="15">
        <f>K61*Forecasts!K49</f>
        <v>-13514740412.299973</v>
      </c>
    </row>
    <row r="63" spans="1:12" ht="5.25" customHeight="1" x14ac:dyDescent="0.25">
      <c r="A63" s="7"/>
      <c r="B63" s="31"/>
      <c r="C63" s="31"/>
      <c r="D63" s="31"/>
      <c r="E63" s="31"/>
      <c r="F63" s="31"/>
      <c r="G63" s="31"/>
      <c r="H63" s="31"/>
      <c r="I63" s="31"/>
      <c r="J63" s="79"/>
      <c r="K63" s="15"/>
    </row>
    <row r="64" spans="1:12" x14ac:dyDescent="0.25">
      <c r="A64" s="7"/>
      <c r="B64" s="31"/>
      <c r="C64" s="31"/>
      <c r="D64" s="31"/>
      <c r="E64" s="31"/>
      <c r="F64" s="31"/>
      <c r="G64" s="31"/>
      <c r="H64" s="31"/>
      <c r="I64" s="31"/>
      <c r="J64" s="79" t="s">
        <v>138</v>
      </c>
      <c r="K64" s="15">
        <v>883615714.25943172</v>
      </c>
    </row>
    <row r="65" spans="1:11" x14ac:dyDescent="0.25">
      <c r="A65" s="7"/>
      <c r="B65" s="31"/>
      <c r="C65" s="31"/>
      <c r="D65" s="31"/>
      <c r="E65" s="31"/>
      <c r="F65" s="31"/>
      <c r="G65" s="31"/>
      <c r="H65" s="31"/>
      <c r="I65" s="31"/>
      <c r="J65" s="79" t="s">
        <v>139</v>
      </c>
      <c r="K65" s="15">
        <f>K64/K60</f>
        <v>9187868758.6764507</v>
      </c>
    </row>
    <row r="66" spans="1:11" x14ac:dyDescent="0.25">
      <c r="A66" s="13"/>
      <c r="B66" s="72"/>
      <c r="C66" s="72"/>
      <c r="D66" s="72"/>
      <c r="E66" s="72"/>
      <c r="F66" s="72"/>
      <c r="G66" s="72"/>
      <c r="H66" s="72"/>
      <c r="I66" s="72"/>
      <c r="J66" s="81" t="s">
        <v>140</v>
      </c>
      <c r="K66" s="17">
        <f>K65*Forecasts!K49</f>
        <v>3667986579.3375773</v>
      </c>
    </row>
    <row r="67" spans="1:11" x14ac:dyDescent="0.25">
      <c r="J67" s="57"/>
      <c r="K67" s="6"/>
    </row>
    <row r="68" spans="1:11" x14ac:dyDescent="0.25">
      <c r="A68" s="38" t="s">
        <v>105</v>
      </c>
      <c r="B68" s="76"/>
      <c r="C68" s="76"/>
      <c r="D68" s="76" t="s">
        <v>106</v>
      </c>
      <c r="E68" s="76"/>
      <c r="F68" s="76"/>
      <c r="G68" s="76"/>
      <c r="H68" s="76"/>
      <c r="I68" s="76"/>
      <c r="J68" s="77" t="s">
        <v>137</v>
      </c>
      <c r="K68" s="78">
        <f>Forecasts!K40</f>
        <v>-3255692665.211957</v>
      </c>
    </row>
    <row r="69" spans="1:11" x14ac:dyDescent="0.25">
      <c r="A69" s="7"/>
      <c r="B69" s="31"/>
      <c r="C69" s="31"/>
      <c r="D69" s="31"/>
      <c r="E69" s="31"/>
      <c r="F69" s="31"/>
      <c r="G69" s="31"/>
      <c r="H69" s="31"/>
      <c r="I69" s="31"/>
      <c r="J69" s="79" t="s">
        <v>7</v>
      </c>
      <c r="K69" s="80">
        <f>Inputs!E6</f>
        <v>9.6172000000000007E-2</v>
      </c>
    </row>
    <row r="70" spans="1:11" x14ac:dyDescent="0.25">
      <c r="A70" s="7"/>
      <c r="B70" s="31"/>
      <c r="C70" s="31"/>
      <c r="D70" s="31"/>
      <c r="E70" s="31"/>
      <c r="F70" s="31"/>
      <c r="G70" s="31"/>
      <c r="H70" s="31"/>
      <c r="I70" s="31"/>
      <c r="J70" s="79" t="s">
        <v>107</v>
      </c>
      <c r="K70" s="80">
        <v>-0.25</v>
      </c>
    </row>
    <row r="71" spans="1:11" x14ac:dyDescent="0.25">
      <c r="A71" s="7"/>
      <c r="B71" s="31"/>
      <c r="C71" s="31"/>
      <c r="D71" s="31"/>
      <c r="E71" s="31"/>
      <c r="F71" s="31"/>
      <c r="G71" s="31"/>
      <c r="H71" s="31"/>
      <c r="I71" s="31"/>
      <c r="J71" s="79" t="s">
        <v>135</v>
      </c>
      <c r="K71" s="12">
        <f>(K68*(1+K70))/(K69-K70)</f>
        <v>-7053630850.8746166</v>
      </c>
    </row>
    <row r="72" spans="1:11" x14ac:dyDescent="0.25">
      <c r="A72" s="7"/>
      <c r="B72" s="31"/>
      <c r="C72" s="31"/>
      <c r="D72" s="31"/>
      <c r="E72" s="31"/>
      <c r="F72" s="31"/>
      <c r="G72" s="31"/>
      <c r="H72" s="31"/>
      <c r="I72" s="31"/>
      <c r="J72" s="79" t="s">
        <v>136</v>
      </c>
      <c r="K72" s="12">
        <f>K71*Forecasts!K49</f>
        <v>-2815954817.8327098</v>
      </c>
    </row>
    <row r="73" spans="1:11" ht="6" customHeight="1" x14ac:dyDescent="0.25">
      <c r="A73" s="7"/>
      <c r="B73" s="31"/>
      <c r="C73" s="31"/>
      <c r="D73" s="31"/>
      <c r="E73" s="31"/>
      <c r="F73" s="31"/>
      <c r="G73" s="31"/>
      <c r="H73" s="31"/>
      <c r="I73" s="31"/>
      <c r="J73" s="79"/>
      <c r="K73" s="12"/>
    </row>
    <row r="74" spans="1:11" x14ac:dyDescent="0.25">
      <c r="A74" s="7"/>
      <c r="B74" s="31"/>
      <c r="C74" s="31"/>
      <c r="D74" s="31"/>
      <c r="E74" s="31"/>
      <c r="F74" s="31"/>
      <c r="G74" s="31"/>
      <c r="H74" s="31"/>
      <c r="I74" s="31"/>
      <c r="J74" s="79" t="s">
        <v>138</v>
      </c>
      <c r="K74" s="15">
        <v>883615714.25943196</v>
      </c>
    </row>
    <row r="75" spans="1:11" x14ac:dyDescent="0.25">
      <c r="A75" s="7"/>
      <c r="B75" s="31"/>
      <c r="C75" s="31"/>
      <c r="D75" s="31"/>
      <c r="E75" s="31"/>
      <c r="F75" s="31"/>
      <c r="G75" s="31"/>
      <c r="H75" s="31"/>
      <c r="I75" s="31"/>
      <c r="J75" s="79" t="s">
        <v>139</v>
      </c>
      <c r="K75" s="82">
        <f>K74*(1+K70)/(K69-K70)</f>
        <v>1914400314.5678275</v>
      </c>
    </row>
    <row r="76" spans="1:11" x14ac:dyDescent="0.25">
      <c r="A76" s="13"/>
      <c r="B76" s="72"/>
      <c r="C76" s="72"/>
      <c r="D76" s="72"/>
      <c r="E76" s="72"/>
      <c r="F76" s="72"/>
      <c r="G76" s="72"/>
      <c r="H76" s="72"/>
      <c r="I76" s="72"/>
      <c r="J76" s="81" t="s">
        <v>140</v>
      </c>
      <c r="K76" s="83">
        <f>K75*Forecasts!K49</f>
        <v>764268063.22013402</v>
      </c>
    </row>
    <row r="78" spans="1:11" x14ac:dyDescent="0.25">
      <c r="A78" s="38" t="s">
        <v>165</v>
      </c>
      <c r="B78" s="76"/>
      <c r="C78" s="76"/>
      <c r="D78" s="76"/>
      <c r="E78" s="76"/>
      <c r="F78" s="76"/>
      <c r="G78" s="76"/>
      <c r="H78" s="76"/>
      <c r="I78" s="76"/>
      <c r="J78" s="77" t="s">
        <v>168</v>
      </c>
      <c r="K78" s="78">
        <v>-3250314332.4482851</v>
      </c>
    </row>
    <row r="79" spans="1:11" x14ac:dyDescent="0.25">
      <c r="A79" s="7"/>
      <c r="B79" s="31"/>
      <c r="C79" s="31"/>
      <c r="D79" s="31"/>
      <c r="E79" s="31"/>
      <c r="F79" s="31"/>
      <c r="G79" s="31"/>
      <c r="H79" s="31"/>
      <c r="I79" s="31"/>
      <c r="J79" s="79" t="s">
        <v>7</v>
      </c>
      <c r="K79" s="80">
        <f>K69</f>
        <v>9.6172000000000007E-2</v>
      </c>
    </row>
    <row r="80" spans="1:11" x14ac:dyDescent="0.25">
      <c r="A80" s="7"/>
      <c r="B80" s="31"/>
      <c r="C80" s="31"/>
      <c r="D80" s="31"/>
      <c r="E80" s="31"/>
      <c r="F80" s="31"/>
      <c r="G80" s="31"/>
      <c r="H80" s="31"/>
      <c r="I80" s="31"/>
      <c r="J80" s="79" t="s">
        <v>169</v>
      </c>
      <c r="K80" s="80">
        <v>-0.21</v>
      </c>
    </row>
    <row r="81" spans="1:88" x14ac:dyDescent="0.25">
      <c r="A81" s="7"/>
      <c r="B81" s="31"/>
      <c r="C81" s="31"/>
      <c r="D81" s="31"/>
      <c r="E81" s="31"/>
      <c r="F81" s="31"/>
      <c r="G81" s="31"/>
      <c r="H81" s="31"/>
      <c r="I81" s="31"/>
      <c r="J81" s="79" t="s">
        <v>135</v>
      </c>
      <c r="K81" s="12">
        <f>(K78*(1+K80))/(K79-K80)</f>
        <v>-8386620339.6592283</v>
      </c>
    </row>
    <row r="82" spans="1:88" ht="14.45" customHeight="1" x14ac:dyDescent="0.25">
      <c r="A82" s="7"/>
      <c r="B82" s="31"/>
      <c r="C82" s="31"/>
      <c r="D82" s="31"/>
      <c r="E82" s="31"/>
      <c r="F82" s="31"/>
      <c r="G82" s="31"/>
      <c r="H82" s="31"/>
      <c r="I82" s="31"/>
      <c r="J82" s="79" t="s">
        <v>136</v>
      </c>
      <c r="K82" s="12">
        <f>K81*Forecasts!K49</f>
        <v>-3348111695.9599447</v>
      </c>
    </row>
    <row r="83" spans="1:88" x14ac:dyDescent="0.25">
      <c r="A83" s="7"/>
      <c r="B83" s="31"/>
      <c r="C83" s="31"/>
      <c r="D83" s="31"/>
      <c r="E83" s="31"/>
      <c r="F83" s="31"/>
      <c r="G83" s="31"/>
      <c r="H83" s="31"/>
      <c r="I83" s="31"/>
      <c r="J83" s="79"/>
      <c r="K83" s="12"/>
    </row>
    <row r="84" spans="1:88" x14ac:dyDescent="0.25">
      <c r="A84" s="7"/>
      <c r="B84" s="31"/>
      <c r="C84" s="31"/>
      <c r="D84" s="31"/>
      <c r="E84" s="31"/>
      <c r="F84" s="31"/>
      <c r="G84" s="31"/>
      <c r="H84" s="31"/>
      <c r="I84" s="31"/>
      <c r="J84" s="79" t="s">
        <v>138</v>
      </c>
      <c r="K84" s="15">
        <v>798818715.50994849</v>
      </c>
    </row>
    <row r="85" spans="1:88" x14ac:dyDescent="0.25">
      <c r="A85" s="7"/>
      <c r="B85" s="31"/>
      <c r="C85" s="31"/>
      <c r="D85" s="31"/>
      <c r="E85" s="31"/>
      <c r="F85" s="31"/>
      <c r="G85" s="31"/>
      <c r="H85" s="31"/>
      <c r="I85" s="31"/>
      <c r="J85" s="79" t="s">
        <v>139</v>
      </c>
      <c r="K85" s="82">
        <f>K84*(1+K80)/(K79-K80)</f>
        <v>2061151200.1517427</v>
      </c>
    </row>
    <row r="86" spans="1:88" x14ac:dyDescent="0.25">
      <c r="A86" s="13"/>
      <c r="B86" s="72"/>
      <c r="C86" s="72"/>
      <c r="D86" s="72"/>
      <c r="E86" s="72"/>
      <c r="F86" s="72"/>
      <c r="G86" s="72"/>
      <c r="H86" s="72"/>
      <c r="I86" s="72"/>
      <c r="J86" s="81" t="s">
        <v>140</v>
      </c>
      <c r="K86" s="115">
        <f>K85*Forecasts!K49</f>
        <v>822854041.42311895</v>
      </c>
    </row>
    <row r="87" spans="1:88" customFormat="1" x14ac:dyDescent="0.25">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row>
    <row r="88" spans="1:88" x14ac:dyDescent="0.25">
      <c r="A88" s="38" t="s">
        <v>166</v>
      </c>
      <c r="B88" s="76"/>
      <c r="C88" s="76"/>
      <c r="D88" s="76"/>
      <c r="E88" s="76"/>
      <c r="F88" s="76"/>
      <c r="G88" s="76"/>
      <c r="H88" s="76"/>
      <c r="I88" s="76"/>
      <c r="J88" s="77" t="s">
        <v>168</v>
      </c>
      <c r="K88" s="78">
        <v>-3222078085.4390078</v>
      </c>
    </row>
    <row r="89" spans="1:88" x14ac:dyDescent="0.25">
      <c r="A89" s="7"/>
      <c r="B89" s="31"/>
      <c r="C89" s="31"/>
      <c r="D89" s="31"/>
      <c r="E89" s="31"/>
      <c r="F89" s="31"/>
      <c r="G89" s="31"/>
      <c r="H89" s="31"/>
      <c r="I89" s="31"/>
      <c r="J89" s="79" t="s">
        <v>7</v>
      </c>
      <c r="K89" s="80">
        <f>K79</f>
        <v>9.6172000000000007E-2</v>
      </c>
    </row>
    <row r="90" spans="1:88" x14ac:dyDescent="0.25">
      <c r="A90" s="7"/>
      <c r="B90" s="31"/>
      <c r="C90" s="31"/>
      <c r="D90" s="31"/>
      <c r="E90" s="31"/>
      <c r="F90" s="31"/>
      <c r="G90" s="31"/>
      <c r="H90" s="31"/>
      <c r="I90" s="31"/>
      <c r="J90" s="79" t="s">
        <v>88</v>
      </c>
      <c r="K90" s="80">
        <v>0</v>
      </c>
    </row>
    <row r="91" spans="1:88" x14ac:dyDescent="0.25">
      <c r="A91" s="7"/>
      <c r="B91" s="31"/>
      <c r="C91" s="31"/>
      <c r="D91" s="31"/>
      <c r="E91" s="31"/>
      <c r="F91" s="31"/>
      <c r="G91" s="31"/>
      <c r="H91" s="31"/>
      <c r="I91" s="31"/>
      <c r="J91" s="79" t="s">
        <v>135</v>
      </c>
      <c r="K91" s="12">
        <f>(K88*(1+K90))/(K89-K90)</f>
        <v>-33503286668.042751</v>
      </c>
    </row>
    <row r="92" spans="1:88" ht="14.45" customHeight="1" x14ac:dyDescent="0.25">
      <c r="A92" s="7"/>
      <c r="B92" s="31"/>
      <c r="C92" s="31"/>
      <c r="D92" s="31"/>
      <c r="E92" s="31"/>
      <c r="F92" s="31"/>
      <c r="G92" s="31"/>
      <c r="H92" s="31"/>
      <c r="I92" s="31"/>
      <c r="J92" s="79" t="s">
        <v>136</v>
      </c>
      <c r="K92" s="114">
        <f>K91*Forecasts!K49</f>
        <v>-13375202573.070181</v>
      </c>
    </row>
    <row r="93" spans="1:88" x14ac:dyDescent="0.25">
      <c r="A93" s="7"/>
      <c r="B93" s="31"/>
      <c r="C93" s="31"/>
      <c r="D93" s="31"/>
      <c r="E93" s="31"/>
      <c r="F93" s="31"/>
      <c r="G93" s="31"/>
      <c r="H93" s="31"/>
      <c r="I93" s="31"/>
      <c r="J93" s="79"/>
      <c r="K93" s="12"/>
    </row>
    <row r="94" spans="1:88" x14ac:dyDescent="0.25">
      <c r="A94" s="7"/>
      <c r="B94" s="31"/>
      <c r="C94" s="31"/>
      <c r="D94" s="31"/>
      <c r="E94" s="31"/>
      <c r="F94" s="31"/>
      <c r="G94" s="31"/>
      <c r="H94" s="31"/>
      <c r="I94" s="31"/>
      <c r="J94" s="79" t="s">
        <v>138</v>
      </c>
      <c r="K94" s="15">
        <v>134458319.09179693</v>
      </c>
    </row>
    <row r="95" spans="1:88" x14ac:dyDescent="0.25">
      <c r="A95" s="7"/>
      <c r="B95" s="31"/>
      <c r="C95" s="31"/>
      <c r="D95" s="31"/>
      <c r="E95" s="31"/>
      <c r="F95" s="31"/>
      <c r="G95" s="31"/>
      <c r="H95" s="31"/>
      <c r="I95" s="31"/>
      <c r="J95" s="79" t="s">
        <v>139</v>
      </c>
      <c r="K95" s="82">
        <f>K94*(1+K90)/(K89-K90)</f>
        <v>1398102556.7919657</v>
      </c>
    </row>
    <row r="96" spans="1:88" x14ac:dyDescent="0.25">
      <c r="A96" s="13"/>
      <c r="B96" s="72"/>
      <c r="C96" s="72"/>
      <c r="D96" s="72"/>
      <c r="E96" s="72"/>
      <c r="F96" s="72"/>
      <c r="G96" s="72"/>
      <c r="H96" s="72"/>
      <c r="I96" s="72"/>
      <c r="J96" s="81" t="s">
        <v>140</v>
      </c>
      <c r="K96" s="115">
        <f>K95*Forecasts!K49</f>
        <v>558151356.91916704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workbookViewId="0">
      <selection activeCell="D8" sqref="D8"/>
    </sheetView>
  </sheetViews>
  <sheetFormatPr defaultColWidth="8.85546875" defaultRowHeight="15" x14ac:dyDescent="0.25"/>
  <cols>
    <col min="1" max="1" width="52" style="1" bestFit="1" customWidth="1"/>
    <col min="2" max="2" width="17.42578125" style="1" bestFit="1" customWidth="1"/>
    <col min="3" max="3" width="3.7109375" style="1" customWidth="1"/>
    <col min="4" max="4" width="18.42578125" style="1" customWidth="1"/>
    <col min="5" max="5" width="3.7109375" style="1" customWidth="1"/>
    <col min="6" max="6" width="20.85546875" style="1" customWidth="1"/>
    <col min="7" max="7" width="9.7109375" style="1" customWidth="1"/>
    <col min="8" max="8" width="17.42578125" style="1" bestFit="1" customWidth="1"/>
    <col min="9" max="9" width="4.7109375" style="1" customWidth="1"/>
    <col min="10" max="10" width="14.28515625" style="1" bestFit="1" customWidth="1"/>
    <col min="11" max="11" width="8.85546875" style="1"/>
    <col min="12" max="12" width="8" style="1" bestFit="1" customWidth="1"/>
    <col min="13" max="16384" width="8.85546875" style="1"/>
  </cols>
  <sheetData>
    <row r="1" spans="1:7" x14ac:dyDescent="0.25">
      <c r="A1" s="23" t="s">
        <v>123</v>
      </c>
    </row>
    <row r="2" spans="1:7" ht="6" customHeight="1" x14ac:dyDescent="0.25"/>
    <row r="3" spans="1:7" x14ac:dyDescent="0.25">
      <c r="A3" s="25" t="s">
        <v>170</v>
      </c>
    </row>
    <row r="4" spans="1:7" ht="13.9" customHeight="1" x14ac:dyDescent="0.25"/>
    <row r="5" spans="1:7" x14ac:dyDescent="0.25">
      <c r="A5" s="1" t="s">
        <v>113</v>
      </c>
      <c r="B5" s="46">
        <f>Inputs!E6</f>
        <v>9.6172000000000007E-2</v>
      </c>
    </row>
    <row r="6" spans="1:7" x14ac:dyDescent="0.25">
      <c r="A6" s="1" t="s">
        <v>114</v>
      </c>
      <c r="B6" s="5">
        <f>Inputs!E46</f>
        <v>-0.25</v>
      </c>
    </row>
    <row r="7" spans="1:7" x14ac:dyDescent="0.25">
      <c r="A7" s="1" t="s">
        <v>115</v>
      </c>
      <c r="B7" s="37">
        <f>Inputs!B7</f>
        <v>0</v>
      </c>
    </row>
    <row r="8" spans="1:7" ht="15.75" thickBot="1" x14ac:dyDescent="0.3">
      <c r="A8" s="23" t="s">
        <v>122</v>
      </c>
      <c r="B8" s="61">
        <f>B7/(B5-B6)</f>
        <v>0</v>
      </c>
    </row>
    <row r="9" spans="1:7" ht="6" customHeight="1" thickTop="1" x14ac:dyDescent="0.25"/>
    <row r="10" spans="1:7" s="25" customFormat="1" x14ac:dyDescent="0.25">
      <c r="A10" s="25" t="s">
        <v>116</v>
      </c>
    </row>
    <row r="11" spans="1:7" ht="6" customHeight="1" x14ac:dyDescent="0.25"/>
    <row r="12" spans="1:7" x14ac:dyDescent="0.25">
      <c r="A12" s="1" t="s">
        <v>111</v>
      </c>
      <c r="B12" s="3">
        <f>Inputs!B43</f>
        <v>33020000000</v>
      </c>
    </row>
    <row r="13" spans="1:7" x14ac:dyDescent="0.25">
      <c r="A13" s="1" t="s">
        <v>117</v>
      </c>
      <c r="B13" s="3">
        <f>SUM(Forecasts!C51:K51)</f>
        <v>-14558008286.917131</v>
      </c>
    </row>
    <row r="14" spans="1:7" x14ac:dyDescent="0.25">
      <c r="A14" s="1" t="s">
        <v>118</v>
      </c>
      <c r="B14" s="6">
        <f>AVERAGE(Forecasts!K57,Forecasts!K62,Forecasts!K72,Forecasts!K82,Forecasts!K92)</f>
        <v>-6457948287.1885347</v>
      </c>
      <c r="F14" s="63" t="s">
        <v>124</v>
      </c>
      <c r="G14" s="64">
        <f>AVERAGE(B8,B17,B25)</f>
        <v>0.83281709393220371</v>
      </c>
    </row>
    <row r="15" spans="1:7" x14ac:dyDescent="0.25">
      <c r="A15" s="1" t="s">
        <v>119</v>
      </c>
      <c r="B15" s="6">
        <f>SUM(B12:B14)</f>
        <v>12004043425.894337</v>
      </c>
      <c r="F15" s="65" t="s">
        <v>125</v>
      </c>
      <c r="G15" s="66">
        <f>Inputs!B5</f>
        <v>0.98460000000000003</v>
      </c>
    </row>
    <row r="16" spans="1:7" x14ac:dyDescent="0.25">
      <c r="A16" s="1" t="s">
        <v>4</v>
      </c>
      <c r="B16" s="59">
        <f>Inputs!B10</f>
        <v>14390000000</v>
      </c>
    </row>
    <row r="17" spans="1:2" ht="15.75" thickBot="1" x14ac:dyDescent="0.3">
      <c r="A17" s="23" t="s">
        <v>112</v>
      </c>
      <c r="B17" s="61">
        <f>B15/B16</f>
        <v>0.83419342778973848</v>
      </c>
    </row>
    <row r="18" spans="1:2" ht="6" customHeight="1" thickTop="1" x14ac:dyDescent="0.25"/>
    <row r="19" spans="1:2" x14ac:dyDescent="0.25">
      <c r="A19" s="25" t="s">
        <v>120</v>
      </c>
    </row>
    <row r="20" spans="1:2" ht="6" customHeight="1" x14ac:dyDescent="0.25"/>
    <row r="21" spans="1:2" x14ac:dyDescent="0.25">
      <c r="A21" s="1" t="s">
        <v>121</v>
      </c>
      <c r="B21" s="3">
        <f>SUM(Forecasts!C53:K53)</f>
        <v>22495355508.933903</v>
      </c>
    </row>
    <row r="22" spans="1:2" x14ac:dyDescent="0.25">
      <c r="A22" s="1" t="s">
        <v>171</v>
      </c>
      <c r="B22" s="3">
        <f>AVERAGE(Forecasts!K66,Forecasts!K76,Forecasts!K86,Forecasts!K96)</f>
        <v>1453315010.2249994</v>
      </c>
    </row>
    <row r="23" spans="1:2" x14ac:dyDescent="0.25">
      <c r="A23" s="1" t="s">
        <v>119</v>
      </c>
      <c r="B23" s="3">
        <f>SUM(B21:B22)</f>
        <v>23948670519.158901</v>
      </c>
    </row>
    <row r="24" spans="1:2" x14ac:dyDescent="0.25">
      <c r="A24" s="1" t="s">
        <v>4</v>
      </c>
      <c r="B24" s="60">
        <f>B16</f>
        <v>14390000000</v>
      </c>
    </row>
    <row r="25" spans="1:2" ht="15.75" thickBot="1" x14ac:dyDescent="0.3">
      <c r="A25" s="23" t="s">
        <v>112</v>
      </c>
      <c r="B25" s="61">
        <f>B23/B24</f>
        <v>1.6642578540068729</v>
      </c>
    </row>
    <row r="26" spans="1:2" ht="15.75" thickTop="1"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2:O45"/>
  <sheetViews>
    <sheetView topLeftCell="A18" zoomScale="90" zoomScaleNormal="90" workbookViewId="0">
      <selection activeCell="I46" sqref="I46"/>
    </sheetView>
  </sheetViews>
  <sheetFormatPr defaultRowHeight="15" x14ac:dyDescent="0.25"/>
  <cols>
    <col min="2" max="2" width="12.140625" customWidth="1"/>
    <col min="4" max="4" width="7.7109375" customWidth="1"/>
    <col min="5" max="5" width="20.7109375" bestFit="1" customWidth="1"/>
    <col min="6" max="7" width="27.7109375" bestFit="1" customWidth="1"/>
    <col min="8" max="8" width="18" customWidth="1"/>
    <col min="9" max="9" width="17.5703125" customWidth="1"/>
    <col min="10" max="14" width="16.7109375" bestFit="1" customWidth="1"/>
    <col min="15" max="16" width="16" bestFit="1" customWidth="1"/>
  </cols>
  <sheetData>
    <row r="2" spans="1:15" x14ac:dyDescent="0.25">
      <c r="A2" t="s">
        <v>148</v>
      </c>
    </row>
    <row r="3" spans="1:15" x14ac:dyDescent="0.25">
      <c r="A3" t="s">
        <v>149</v>
      </c>
    </row>
    <row r="5" spans="1:15" x14ac:dyDescent="0.25">
      <c r="A5" t="s">
        <v>150</v>
      </c>
    </row>
    <row r="6" spans="1:15" x14ac:dyDescent="0.25">
      <c r="A6" t="s">
        <v>151</v>
      </c>
    </row>
    <row r="9" spans="1:15" x14ac:dyDescent="0.25">
      <c r="F9" s="120"/>
      <c r="G9" s="120"/>
      <c r="H9" s="120"/>
      <c r="I9" s="120"/>
      <c r="J9" s="120"/>
      <c r="K9" s="120"/>
      <c r="L9" s="121"/>
      <c r="M9" s="121"/>
      <c r="N9" s="121"/>
    </row>
    <row r="10" spans="1:15" x14ac:dyDescent="0.25">
      <c r="B10" s="129" t="s">
        <v>152</v>
      </c>
      <c r="F10" s="122">
        <v>42369</v>
      </c>
      <c r="G10" s="122">
        <v>42735</v>
      </c>
      <c r="H10" s="122">
        <v>43100</v>
      </c>
      <c r="I10" s="122">
        <v>43465</v>
      </c>
      <c r="J10" s="122">
        <v>43830</v>
      </c>
      <c r="K10" s="123">
        <v>44196</v>
      </c>
      <c r="L10" s="123">
        <v>44561</v>
      </c>
      <c r="M10" s="123">
        <v>44926</v>
      </c>
      <c r="N10" s="123">
        <v>45291</v>
      </c>
    </row>
    <row r="11" spans="1:15" x14ac:dyDescent="0.25">
      <c r="B11" s="138"/>
      <c r="C11" s="138"/>
      <c r="D11" s="138"/>
      <c r="E11" s="138"/>
      <c r="F11" s="124"/>
      <c r="G11" s="125"/>
      <c r="H11" s="125"/>
      <c r="I11" s="125"/>
      <c r="J11" s="125"/>
      <c r="K11" s="125"/>
      <c r="L11" s="124"/>
      <c r="M11" s="124"/>
      <c r="N11" s="124"/>
    </row>
    <row r="12" spans="1:15" x14ac:dyDescent="0.25">
      <c r="B12" s="138" t="s">
        <v>183</v>
      </c>
      <c r="C12" s="138"/>
      <c r="D12" s="138"/>
      <c r="E12" s="138"/>
      <c r="F12" s="126"/>
      <c r="G12" s="127">
        <f>Forecasts!C38*Forecasts!B12</f>
        <v>3175599440.0000005</v>
      </c>
      <c r="H12" s="127">
        <f>Forecasts!D38*Forecasts!C12</f>
        <v>3007833558.5218935</v>
      </c>
      <c r="I12" s="127">
        <f>Forecasts!E38*Forecasts!D12</f>
        <v>3104707614.1218934</v>
      </c>
      <c r="J12" s="127">
        <f>Forecasts!F38*Forecasts!E12</f>
        <v>3177363155.8218937</v>
      </c>
      <c r="K12" s="127">
        <f>Forecasts!G38*Forecasts!F12</f>
        <v>3231854812.0968933</v>
      </c>
      <c r="L12" s="127">
        <f>Forecasts!H38*Forecasts!G12</f>
        <v>3272723554.3031435</v>
      </c>
      <c r="M12" s="127">
        <f>Forecasts!I38*Forecasts!H12</f>
        <v>3303375110.9578309</v>
      </c>
      <c r="N12" s="127">
        <f>Forecasts!J38*Forecasts!I12</f>
        <v>3326363778.4488468</v>
      </c>
      <c r="O12" s="118"/>
    </row>
    <row r="13" spans="1:15" x14ac:dyDescent="0.25">
      <c r="B13" s="138" t="s">
        <v>181</v>
      </c>
      <c r="C13" s="138"/>
      <c r="D13" s="138"/>
      <c r="E13" s="138"/>
      <c r="F13" s="126"/>
      <c r="G13" s="126">
        <f>(Forecasts!D21-'Terminal Value'!G12)-(Forecasts!C21-(Forecasts!B12*Forecasts!B38))</f>
        <v>-251825000</v>
      </c>
      <c r="H13" s="126">
        <f>(Forecasts!E21-'Terminal Value'!H12)-(Forecasts!D21-'Terminal Value'!G12)</f>
        <v>-21102868.521893024</v>
      </c>
      <c r="I13" s="126">
        <f>(Forecasts!F21-'Terminal Value'!I12)-(Forecasts!E21-'Terminal Value'!H12)</f>
        <v>-238525618.0999999</v>
      </c>
      <c r="J13" s="126">
        <f>(Forecasts!G21-'Terminal Value'!J12)-(Forecasts!F21-'Terminal Value'!I12)</f>
        <v>-178894213.57500029</v>
      </c>
      <c r="K13" s="126">
        <f>(Forecasts!H21-'Terminal Value'!K12)-(Forecasts!G21-'Terminal Value'!J12)</f>
        <v>-134170660.18124962</v>
      </c>
      <c r="L13" s="126">
        <f>(Forecasts!I21-'Terminal Value'!L12)-(Forecasts!H21-'Terminal Value'!K12)</f>
        <v>-100627995.13593769</v>
      </c>
      <c r="M13" s="126">
        <f>(Forecasts!J21-'Terminal Value'!M12)-(Forecasts!I21-'Terminal Value'!L12)</f>
        <v>-75470996.35195303</v>
      </c>
      <c r="N13" s="126">
        <f>(Forecasts!K21-'Terminal Value'!N12)-(Forecasts!J21-'Terminal Value'!M12)</f>
        <v>-56603247.26396513</v>
      </c>
      <c r="O13" s="116"/>
    </row>
    <row r="14" spans="1:15" x14ac:dyDescent="0.25">
      <c r="B14" s="138" t="s">
        <v>182</v>
      </c>
      <c r="C14" s="138"/>
      <c r="D14" s="138"/>
      <c r="E14" s="138"/>
      <c r="F14" s="126"/>
      <c r="G14" s="126">
        <f>Forecasts!C49</f>
        <v>0.83222851282078669</v>
      </c>
      <c r="H14" s="126">
        <f>Forecasts!D49</f>
        <v>0.75921343805605934</v>
      </c>
      <c r="I14" s="126">
        <f>Forecasts!E49</f>
        <v>0.69260429755189834</v>
      </c>
      <c r="J14" s="126">
        <f>Forecasts!F49</f>
        <v>0.63183907046695076</v>
      </c>
      <c r="K14" s="126">
        <f>Forecasts!G49</f>
        <v>0.57640504452490193</v>
      </c>
      <c r="L14" s="126">
        <f>Forecasts!H49</f>
        <v>0.52583448995677862</v>
      </c>
      <c r="M14" s="126">
        <f>Forecasts!I49</f>
        <v>0.4797007129873585</v>
      </c>
      <c r="N14" s="126">
        <f>Forecasts!J49</f>
        <v>0.43761445556660683</v>
      </c>
    </row>
    <row r="15" spans="1:15" x14ac:dyDescent="0.25">
      <c r="B15" s="138" t="s">
        <v>174</v>
      </c>
      <c r="C15" s="138"/>
      <c r="D15" s="138"/>
      <c r="E15" s="138"/>
      <c r="F15" s="126"/>
      <c r="G15" s="126">
        <f>G13*G14</f>
        <v>-209575945.24109462</v>
      </c>
      <c r="H15" s="126">
        <f t="shared" ref="H15:N15" si="0">H13*H14</f>
        <v>-16021581.363351393</v>
      </c>
      <c r="I15" s="126">
        <f t="shared" si="0"/>
        <v>-165203868.17228281</v>
      </c>
      <c r="J15" s="126">
        <f t="shared" si="0"/>
        <v>-113032353.61714435</v>
      </c>
      <c r="K15" s="126">
        <f t="shared" si="0"/>
        <v>-77336645.355708674</v>
      </c>
      <c r="L15" s="126">
        <f t="shared" si="0"/>
        <v>-52913670.497678995</v>
      </c>
      <c r="M15" s="126">
        <f t="shared" si="0"/>
        <v>-36203490.759898201</v>
      </c>
      <c r="N15" s="126">
        <f t="shared" si="0"/>
        <v>-24770399.234722126</v>
      </c>
    </row>
    <row r="16" spans="1:15" x14ac:dyDescent="0.25">
      <c r="B16" s="138"/>
      <c r="C16" s="138"/>
      <c r="D16" s="138"/>
      <c r="E16" s="138"/>
      <c r="F16" s="126"/>
      <c r="G16" s="126"/>
      <c r="H16" s="126"/>
      <c r="I16" s="126"/>
      <c r="J16" s="126"/>
      <c r="K16" s="126"/>
      <c r="L16" s="126"/>
      <c r="M16" s="126"/>
      <c r="N16" s="126"/>
    </row>
    <row r="17" spans="2:15" x14ac:dyDescent="0.25">
      <c r="B17" s="138" t="s">
        <v>184</v>
      </c>
      <c r="C17" s="138"/>
      <c r="D17" s="138"/>
      <c r="E17" s="138"/>
      <c r="F17" s="126">
        <f>Forecasts!C30/Forecasts!C8</f>
        <v>2.6044344011222367E-2</v>
      </c>
      <c r="G17" s="126">
        <f>Forecasts!D30/Forecasts!D8</f>
        <v>2.6044344011222364E-2</v>
      </c>
      <c r="H17" s="126">
        <f>Forecasts!E30/Forecasts!E8</f>
        <v>2.6044344011222367E-2</v>
      </c>
      <c r="I17" s="126">
        <f>Forecasts!F30/Forecasts!F8</f>
        <v>2.6044344011222367E-2</v>
      </c>
      <c r="J17" s="126">
        <f>Forecasts!G30/Forecasts!G8</f>
        <v>2.6044344011222367E-2</v>
      </c>
      <c r="K17" s="126">
        <f>Forecasts!H30/Forecasts!H8</f>
        <v>2.6044344011222371E-2</v>
      </c>
      <c r="L17" s="126">
        <f>Forecasts!I30/Forecasts!I8</f>
        <v>2.6044344011222371E-2</v>
      </c>
      <c r="M17" s="126">
        <f>Forecasts!J30/Forecasts!J8</f>
        <v>2.6044344011222371E-2</v>
      </c>
      <c r="N17" s="126">
        <f>Forecasts!K30/Forecasts!K8</f>
        <v>2.6044344011222371E-2</v>
      </c>
    </row>
    <row r="18" spans="2:15" x14ac:dyDescent="0.25">
      <c r="B18" s="138" t="s">
        <v>159</v>
      </c>
      <c r="C18" s="138"/>
      <c r="D18" s="138"/>
      <c r="E18" s="138"/>
      <c r="F18" s="126">
        <f>F17-((Forecasts!C27*(1-Forecasts!C28)*Forecasts!C15)+((1-Forecasts!C15)*Forecasts!C38))</f>
        <v>-4.1186697157338206E-2</v>
      </c>
      <c r="G18" s="126">
        <f>G17-((Forecasts!D27*(1-Forecasts!D28)*Forecasts!D15)+((1-Forecasts!D15)*Forecasts!D38))</f>
        <v>-4.1186697157338206E-2</v>
      </c>
      <c r="H18" s="126">
        <f>H17-((Forecasts!E27*(1-Forecasts!E28)*Forecasts!E15)+((1-Forecasts!E15)*Forecasts!E38))</f>
        <v>-4.1186697157338206E-2</v>
      </c>
      <c r="I18" s="126">
        <f>I17-((Forecasts!F27*(1-Forecasts!F28)*Forecasts!F15)+((1-Forecasts!F15)*Forecasts!F38))</f>
        <v>-4.1186697157338206E-2</v>
      </c>
      <c r="J18" s="126">
        <f>J17-((Forecasts!G27*(1-Forecasts!G28)*Forecasts!G15)+((1-Forecasts!G15)*Forecasts!G38))</f>
        <v>-4.1186697157338206E-2</v>
      </c>
      <c r="K18" s="126">
        <f>K17-((Forecasts!H27*(1-Forecasts!H28)*Forecasts!H15)+((1-Forecasts!H15)*Forecasts!H38))</f>
        <v>-4.1186697157338206E-2</v>
      </c>
      <c r="L18" s="126">
        <f>L17-((Forecasts!I27*(1-Forecasts!I28)*Forecasts!I15)+((1-Forecasts!I15)*Forecasts!I38))</f>
        <v>-4.1186697157338206E-2</v>
      </c>
      <c r="M18" s="126">
        <f>M17-((Forecasts!J27*(1-Forecasts!J28)*Forecasts!J15)+((1-Forecasts!J15)*Forecasts!J38))</f>
        <v>-4.1186697157338206E-2</v>
      </c>
      <c r="N18" s="126">
        <f>N17-((Forecasts!K27*(1-Forecasts!K28)*Forecasts!K15)+((1-Forecasts!K15)*Forecasts!K38))</f>
        <v>-4.1186697157338206E-2</v>
      </c>
    </row>
    <row r="19" spans="2:15" x14ac:dyDescent="0.25">
      <c r="B19" s="138" t="s">
        <v>158</v>
      </c>
      <c r="C19" s="138"/>
      <c r="D19" s="138"/>
      <c r="E19" s="138"/>
      <c r="F19" s="126">
        <f>F18*Forecasts!C8</f>
        <v>-2853954030.8401766</v>
      </c>
      <c r="G19" s="126">
        <f>G18*Forecasts!D8</f>
        <v>-2140465523.1301329</v>
      </c>
      <c r="H19" s="126">
        <f>H18*Forecasts!E8</f>
        <v>-1605349142.3475995</v>
      </c>
      <c r="I19" s="126">
        <f>I18*Forecasts!F8</f>
        <v>-1204011856.7606997</v>
      </c>
      <c r="J19" s="126">
        <f>J18*Forecasts!G8</f>
        <v>-903008892.57052481</v>
      </c>
      <c r="K19" s="126">
        <f>K18*Forecasts!H8</f>
        <v>-677256669.42789352</v>
      </c>
      <c r="L19" s="126">
        <f>L18*Forecasts!I8</f>
        <v>-507942502.07092011</v>
      </c>
      <c r="M19" s="126">
        <f>M18*Forecasts!J8</f>
        <v>-380956876.55319017</v>
      </c>
      <c r="N19" s="126">
        <f>N18*Forecasts!K8</f>
        <v>-285717657.41489261</v>
      </c>
    </row>
    <row r="20" spans="2:15" x14ac:dyDescent="0.25">
      <c r="B20" s="138" t="s">
        <v>185</v>
      </c>
      <c r="C20" s="138"/>
      <c r="D20" s="138"/>
      <c r="E20" s="138"/>
      <c r="F20" s="128">
        <f>1/((1+Inputs!$E$6)^1)</f>
        <v>0.91226559335578727</v>
      </c>
      <c r="G20" s="128">
        <f>1/((1+Inputs!$E$6)^2)</f>
        <v>0.83222851282078669</v>
      </c>
      <c r="H20" s="128">
        <f>1/((1+Inputs!$E$6)^3)</f>
        <v>0.75921343805605934</v>
      </c>
      <c r="I20" s="128">
        <f>1/((1+Inputs!$E$6)^4)</f>
        <v>0.69260429755189834</v>
      </c>
      <c r="J20" s="128">
        <f>1/((1+Inputs!$E$6)^5)</f>
        <v>0.63183907046695076</v>
      </c>
      <c r="K20" s="128">
        <f>1/((1+Inputs!$E$6)^6)</f>
        <v>0.57640504452490193</v>
      </c>
      <c r="L20" s="126">
        <f>1/((1+Inputs!$E$6)^7)</f>
        <v>0.52583448995677862</v>
      </c>
      <c r="M20" s="126">
        <f>1/((1+Inputs!$E$6)^8)</f>
        <v>0.4797007129873585</v>
      </c>
      <c r="N20" s="126">
        <f>1/((1+Inputs!$E$6)^9)</f>
        <v>0.43761445556660683</v>
      </c>
    </row>
    <row r="21" spans="2:15" x14ac:dyDescent="0.25">
      <c r="B21" s="138" t="s">
        <v>186</v>
      </c>
      <c r="C21" s="138"/>
      <c r="D21" s="138"/>
      <c r="E21" s="138"/>
      <c r="F21" s="126">
        <f>F19*F20</f>
        <v>-2603564067.3545547</v>
      </c>
      <c r="G21" s="126">
        <f t="shared" ref="G21:N21" si="1">G19*G20</f>
        <v>-1781356439.0587578</v>
      </c>
      <c r="H21" s="126">
        <f t="shared" si="1"/>
        <v>-1218802641.6420672</v>
      </c>
      <c r="I21" s="126">
        <f t="shared" si="1"/>
        <v>-833903786.2959013</v>
      </c>
      <c r="J21" s="126">
        <f t="shared" si="1"/>
        <v>-570556299.30515099</v>
      </c>
      <c r="K21" s="126">
        <f t="shared" si="1"/>
        <v>-390374160.69637173</v>
      </c>
      <c r="L21" s="126">
        <f t="shared" si="1"/>
        <v>-267093686.50383225</v>
      </c>
      <c r="M21" s="126">
        <f t="shared" si="1"/>
        <v>-182745285.30000246</v>
      </c>
      <c r="N21" s="126">
        <f t="shared" si="1"/>
        <v>-125034177.09538452</v>
      </c>
      <c r="O21" s="119"/>
    </row>
    <row r="22" spans="2:15" x14ac:dyDescent="0.25">
      <c r="B22" s="138" t="s">
        <v>160</v>
      </c>
      <c r="C22" s="138"/>
      <c r="D22" s="138"/>
      <c r="E22" s="138"/>
      <c r="F22" s="126">
        <f>Forecasts!C43+Forecasts!C42</f>
        <v>2238380443.5508432</v>
      </c>
      <c r="G22" s="126">
        <f>Forecasts!D43+Forecasts!D42</f>
        <v>1678785332.6631331</v>
      </c>
      <c r="H22" s="126">
        <f>Forecasts!E43+Forecasts!E42</f>
        <v>1259088999.4973497</v>
      </c>
      <c r="I22" s="126">
        <f>Forecasts!F43+Forecasts!F42</f>
        <v>944316749.62301242</v>
      </c>
      <c r="J22" s="126">
        <f>Forecasts!G43+Forecasts!G42</f>
        <v>708237562.21725929</v>
      </c>
      <c r="K22" s="126">
        <f>Forecasts!H43+Forecasts!H42</f>
        <v>531178171.66294444</v>
      </c>
      <c r="L22" s="126">
        <f>Forecasts!I43+Forecasts!I42</f>
        <v>398383628.74720842</v>
      </c>
      <c r="M22" s="126">
        <f>Forecasts!J43+Forecasts!J42</f>
        <v>298787721.56040627</v>
      </c>
      <c r="N22" s="126">
        <f>Forecasts!K43+Forecasts!K42</f>
        <v>224090791.17030472</v>
      </c>
    </row>
    <row r="23" spans="2:15" x14ac:dyDescent="0.25">
      <c r="B23" s="138"/>
      <c r="C23" s="138"/>
      <c r="D23" s="138"/>
      <c r="E23" s="138"/>
      <c r="F23" s="126"/>
      <c r="G23" s="126"/>
      <c r="H23" s="126"/>
      <c r="I23" s="126"/>
      <c r="J23" s="126"/>
      <c r="K23" s="126"/>
      <c r="L23" s="126"/>
      <c r="M23" s="126"/>
      <c r="N23" s="126"/>
    </row>
    <row r="24" spans="2:15" x14ac:dyDescent="0.25">
      <c r="B24" s="138" t="s">
        <v>187</v>
      </c>
      <c r="C24" s="138"/>
      <c r="D24" s="138"/>
      <c r="E24" s="138"/>
      <c r="F24" s="126">
        <f>Forecasts!C8*((Forecasts!C27*(1-Forecasts!C28)*Forecasts!C15)+((1-Forecasts!C15)*Forecasts!C38))</f>
        <v>4658647431.9028807</v>
      </c>
      <c r="G24" s="126">
        <f>Forecasts!D8*((Forecasts!D27*(1-Forecasts!D28)*Forecasts!D15)+((1-Forecasts!D15)*Forecasts!D38))</f>
        <v>3493985573.9271612</v>
      </c>
      <c r="H24" s="126">
        <f>Forecasts!E8*((Forecasts!E27*(1-Forecasts!E28)*Forecasts!E15)+((1-Forecasts!E15)*Forecasts!E38))</f>
        <v>2620489180.4453707</v>
      </c>
      <c r="I24" s="126">
        <f>Forecasts!F8*((Forecasts!F27*(1-Forecasts!F28)*Forecasts!F15)+((1-Forecasts!F15)*Forecasts!F38))</f>
        <v>1965366885.3340282</v>
      </c>
      <c r="J24" s="126">
        <f>Forecasts!G8*((Forecasts!G27*(1-Forecasts!G28)*Forecasts!G15)+((1-Forecasts!G15)*Forecasts!G38))</f>
        <v>1474025164.0005212</v>
      </c>
      <c r="K24" s="126">
        <f>Forecasts!H8*((Forecasts!H27*(1-Forecasts!H28)*Forecasts!H15)+((1-Forecasts!H15)*Forecasts!H38))</f>
        <v>1105518873.0003908</v>
      </c>
      <c r="L24" s="126">
        <f>Forecasts!I8*((Forecasts!I27*(1-Forecasts!I28)*Forecasts!I15)+((1-Forecasts!I15)*Forecasts!I38))</f>
        <v>829139154.75029302</v>
      </c>
      <c r="M24" s="126">
        <f>Forecasts!J8*((Forecasts!J27*(1-Forecasts!J28)*Forecasts!J15)+((1-Forecasts!J15)*Forecasts!J38))</f>
        <v>621854366.06271982</v>
      </c>
      <c r="N24" s="126">
        <f>Forecasts!K8*((Forecasts!K27*(1-Forecasts!K28)*Forecasts!K15)+((1-Forecasts!K15)*Forecasts!K38))</f>
        <v>466390774.54703987</v>
      </c>
    </row>
    <row r="25" spans="2:15" x14ac:dyDescent="0.25">
      <c r="B25" s="138" t="s">
        <v>181</v>
      </c>
      <c r="C25" s="138"/>
      <c r="D25" s="138"/>
      <c r="E25" s="138"/>
      <c r="F25" s="126"/>
      <c r="G25" s="126">
        <f>(Forecasts!D30-'Terminal Value'!G24)-(Forecasts!C30-'Terminal Value'!F24)</f>
        <v>713488507.71004343</v>
      </c>
      <c r="H25" s="126">
        <f>(Forecasts!E30-'Terminal Value'!H24)-(Forecasts!D30-'Terminal Value'!G24)</f>
        <v>535116380.78253365</v>
      </c>
      <c r="I25" s="126">
        <f>(Forecasts!F30-'Terminal Value'!I24)-(Forecasts!E30-'Terminal Value'!H24)</f>
        <v>401337285.58689976</v>
      </c>
      <c r="J25" s="126">
        <f>(Forecasts!G30-'Terminal Value'!J24)-(Forecasts!F30-'Terminal Value'!I24)</f>
        <v>301002964.19017482</v>
      </c>
      <c r="K25" s="126">
        <f>(Forecasts!H30-'Terminal Value'!K24)-(Forecasts!G30-'Terminal Value'!J24)</f>
        <v>225752223.14263141</v>
      </c>
      <c r="L25" s="126">
        <f>(Forecasts!I30-'Terminal Value'!L24)-(Forecasts!H30-'Terminal Value'!K24)</f>
        <v>169314167.35697341</v>
      </c>
      <c r="M25" s="126">
        <f>(Forecasts!J30-'Terminal Value'!M24)-(Forecasts!I30-'Terminal Value'!L24)</f>
        <v>126985625.51773</v>
      </c>
      <c r="N25" s="126">
        <f>(Forecasts!K30-'Terminal Value'!N24)-(Forecasts!J30-'Terminal Value'!M24)</f>
        <v>95239219.138297558</v>
      </c>
    </row>
    <row r="26" spans="2:15" x14ac:dyDescent="0.25">
      <c r="B26" s="138" t="s">
        <v>174</v>
      </c>
      <c r="C26" s="138"/>
      <c r="D26" s="138"/>
      <c r="E26" s="138"/>
      <c r="F26" s="126"/>
      <c r="G26" s="126">
        <f>G25*G14</f>
        <v>593785479.68625188</v>
      </c>
      <c r="H26" s="126">
        <f t="shared" ref="H26:N26" si="2">H25*H14</f>
        <v>406267547.21402276</v>
      </c>
      <c r="I26" s="126">
        <f t="shared" si="2"/>
        <v>277967928.76530033</v>
      </c>
      <c r="J26" s="126">
        <f t="shared" si="2"/>
        <v>190185433.10171694</v>
      </c>
      <c r="K26" s="126">
        <f t="shared" si="2"/>
        <v>130124720.23212406</v>
      </c>
      <c r="L26" s="126">
        <f t="shared" si="2"/>
        <v>89031228.834610775</v>
      </c>
      <c r="M26" s="126">
        <f t="shared" si="2"/>
        <v>60915095.100000784</v>
      </c>
      <c r="N26" s="126">
        <f t="shared" si="2"/>
        <v>41678059.031794846</v>
      </c>
    </row>
    <row r="31" spans="2:15" x14ac:dyDescent="0.25">
      <c r="B31" s="139"/>
      <c r="C31" s="139"/>
      <c r="D31" s="139"/>
      <c r="E31" s="124" t="s">
        <v>173</v>
      </c>
      <c r="F31" s="124" t="s">
        <v>174</v>
      </c>
      <c r="G31" s="124" t="s">
        <v>175</v>
      </c>
      <c r="H31" s="124" t="s">
        <v>176</v>
      </c>
      <c r="I31" s="124" t="s">
        <v>177</v>
      </c>
    </row>
    <row r="32" spans="2:15" x14ac:dyDescent="0.25">
      <c r="B32" s="140" t="s">
        <v>152</v>
      </c>
      <c r="C32" s="141"/>
      <c r="D32" s="142"/>
      <c r="E32" s="121"/>
      <c r="F32" s="121"/>
      <c r="G32" s="121"/>
      <c r="H32" s="121"/>
      <c r="I32" s="121"/>
    </row>
    <row r="33" spans="2:9" x14ac:dyDescent="0.25">
      <c r="B33" s="138" t="s">
        <v>153</v>
      </c>
      <c r="C33" s="138"/>
      <c r="D33" s="138"/>
      <c r="E33" s="124">
        <f>Inputs!B43</f>
        <v>33020000000</v>
      </c>
      <c r="F33" s="124">
        <f>SUM(Forecasts!B51:K51)</f>
        <v>-16404798243.237856</v>
      </c>
      <c r="G33" s="124">
        <v>-2815954817.8327098</v>
      </c>
      <c r="H33" s="124">
        <f>SUM(E33:G33)</f>
        <v>13799246938.929434</v>
      </c>
      <c r="I33" s="124">
        <f>H33/Inputs!B10</f>
        <v>0.95894697282344921</v>
      </c>
    </row>
    <row r="34" spans="2:9" x14ac:dyDescent="0.25">
      <c r="B34" s="138" t="s">
        <v>154</v>
      </c>
      <c r="C34" s="138"/>
      <c r="D34" s="138"/>
      <c r="E34" s="124">
        <f>Inputs!B43</f>
        <v>33020000000</v>
      </c>
      <c r="F34" s="124">
        <f>SUM(Forecasts!B51:K51)</f>
        <v>-16404798243.237856</v>
      </c>
      <c r="G34" s="124">
        <v>-2815954817.8327098</v>
      </c>
      <c r="H34" s="124">
        <f t="shared" ref="H34" si="3">SUM(E34:G34)</f>
        <v>13799246938.929434</v>
      </c>
      <c r="I34" s="124">
        <f>H34/Inputs!B10</f>
        <v>0.95894697282344921</v>
      </c>
    </row>
    <row r="35" spans="2:9" x14ac:dyDescent="0.25">
      <c r="B35" s="138" t="s">
        <v>155</v>
      </c>
      <c r="C35" s="138"/>
      <c r="D35" s="138"/>
      <c r="E35" s="124" t="s">
        <v>167</v>
      </c>
      <c r="F35" s="124">
        <f>SUM(Forecasts!C53:K53)</f>
        <v>22495355508.933903</v>
      </c>
      <c r="G35" s="124">
        <v>764268063.22013366</v>
      </c>
      <c r="H35" s="124">
        <f>F35+G35</f>
        <v>23259623572.154037</v>
      </c>
      <c r="I35" s="124">
        <f>H35/Inputs!B10</f>
        <v>1.6163741189822125</v>
      </c>
    </row>
    <row r="36" spans="2:9" x14ac:dyDescent="0.25">
      <c r="B36" s="138" t="s">
        <v>156</v>
      </c>
      <c r="C36" s="138"/>
      <c r="D36" s="138"/>
      <c r="E36" s="124" t="s">
        <v>167</v>
      </c>
      <c r="F36" s="124">
        <f>SUM(G15:O15)</f>
        <v>-695057954.24188125</v>
      </c>
      <c r="G36" s="124">
        <f>(Forecasts!C25+'Terminal Value'!F36)/Forecasts!B38</f>
        <v>3246704298.1129522</v>
      </c>
      <c r="H36" s="124">
        <f>F36+G36</f>
        <v>2551646343.8710709</v>
      </c>
      <c r="I36" s="124">
        <f>H36/Inputs!B10</f>
        <v>0.17732080221480687</v>
      </c>
    </row>
    <row r="37" spans="2:9" x14ac:dyDescent="0.25">
      <c r="B37" s="143"/>
      <c r="C37" s="144"/>
      <c r="D37" s="145"/>
      <c r="E37" s="124"/>
      <c r="F37" s="124"/>
      <c r="G37" s="124"/>
      <c r="H37" s="124"/>
      <c r="I37" s="124"/>
    </row>
    <row r="38" spans="2:9" x14ac:dyDescent="0.25">
      <c r="B38" s="140" t="s">
        <v>157</v>
      </c>
      <c r="C38" s="141"/>
      <c r="D38" s="142"/>
      <c r="E38" s="124"/>
      <c r="F38" s="124"/>
      <c r="G38" s="124"/>
      <c r="H38" s="124"/>
      <c r="I38" s="124"/>
    </row>
    <row r="39" spans="2:9" x14ac:dyDescent="0.25">
      <c r="B39" s="138" t="s">
        <v>158</v>
      </c>
      <c r="C39" s="138"/>
      <c r="D39" s="138"/>
      <c r="E39" s="124">
        <f>Forecasts!B8</f>
        <v>73166990000</v>
      </c>
      <c r="F39" s="126">
        <f>SUM(F21:N21)</f>
        <v>-7973430543.2520227</v>
      </c>
      <c r="G39" s="124">
        <v>-118012301.9836632</v>
      </c>
      <c r="H39" s="124">
        <f>SUM(E39:G39)</f>
        <v>65075547154.764313</v>
      </c>
      <c r="I39" s="124">
        <f>H39/Inputs!B10</f>
        <v>4.5222756883088477</v>
      </c>
    </row>
    <row r="40" spans="2:9" x14ac:dyDescent="0.25">
      <c r="B40" s="138" t="s">
        <v>159</v>
      </c>
      <c r="C40" s="138"/>
      <c r="D40" s="138"/>
      <c r="E40" s="124">
        <v>73166990000</v>
      </c>
      <c r="F40" s="124">
        <v>-7973430543.2520227</v>
      </c>
      <c r="G40" s="124">
        <v>-118012301.9836632</v>
      </c>
      <c r="H40" s="124">
        <f>SUM(E40:G40)</f>
        <v>65075547154.764313</v>
      </c>
      <c r="I40" s="124">
        <f>H40/Inputs!B10</f>
        <v>4.5222756883088477</v>
      </c>
    </row>
    <row r="41" spans="2:9" x14ac:dyDescent="0.25">
      <c r="B41" s="138" t="s">
        <v>160</v>
      </c>
      <c r="C41" s="138"/>
      <c r="D41" s="138"/>
      <c r="E41" s="124" t="s">
        <v>167</v>
      </c>
      <c r="F41" s="124">
        <f>SUM(F22:N22)</f>
        <v>8281249400.6924629</v>
      </c>
      <c r="G41" s="124">
        <v>211505931.6875706</v>
      </c>
      <c r="H41" s="124">
        <f>F41+G41</f>
        <v>8492755332.3800335</v>
      </c>
      <c r="I41" s="124">
        <f>H41/Inputs!B10</f>
        <v>0.59018452622515871</v>
      </c>
    </row>
    <row r="42" spans="2:9" x14ac:dyDescent="0.25">
      <c r="B42" s="138" t="s">
        <v>161</v>
      </c>
      <c r="C42" s="138"/>
      <c r="D42" s="138"/>
      <c r="E42" s="124" t="s">
        <v>167</v>
      </c>
      <c r="F42" s="124">
        <f>SUM(G26:N26)</f>
        <v>1789955491.9658225</v>
      </c>
      <c r="G42" s="124">
        <v>39337433.994554408</v>
      </c>
      <c r="H42" s="124">
        <f>F42+G42</f>
        <v>1829292925.960377</v>
      </c>
      <c r="I42" s="124">
        <f>H42/Inputs!B10</f>
        <v>0.12712251049064469</v>
      </c>
    </row>
    <row r="44" spans="2:9" x14ac:dyDescent="0.25">
      <c r="I44">
        <f>(I33+I34+I35+I36)/4</f>
        <v>0.92789721671097947</v>
      </c>
    </row>
    <row r="45" spans="2:9" x14ac:dyDescent="0.25">
      <c r="I45">
        <f>(I39+I40+I41+I42)/4</f>
        <v>2.4404646033333748</v>
      </c>
    </row>
  </sheetData>
  <mergeCells count="28">
    <mergeCell ref="B26:E26"/>
    <mergeCell ref="B11:E11"/>
    <mergeCell ref="B31:D31"/>
    <mergeCell ref="B32:D32"/>
    <mergeCell ref="B38:D38"/>
    <mergeCell ref="B37:D37"/>
    <mergeCell ref="B20:E20"/>
    <mergeCell ref="B21:E21"/>
    <mergeCell ref="B22:E22"/>
    <mergeCell ref="B23:E23"/>
    <mergeCell ref="B24:E24"/>
    <mergeCell ref="B25:E25"/>
    <mergeCell ref="B41:D41"/>
    <mergeCell ref="B42:D42"/>
    <mergeCell ref="B12:E12"/>
    <mergeCell ref="B13:E13"/>
    <mergeCell ref="B14:E14"/>
    <mergeCell ref="B15:E15"/>
    <mergeCell ref="B16:E16"/>
    <mergeCell ref="B17:E17"/>
    <mergeCell ref="B18:E18"/>
    <mergeCell ref="B19:E19"/>
    <mergeCell ref="B33:D33"/>
    <mergeCell ref="B34:D34"/>
    <mergeCell ref="B35:D35"/>
    <mergeCell ref="B36:D36"/>
    <mergeCell ref="B39:D39"/>
    <mergeCell ref="B40:D40"/>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B2:O18"/>
  <sheetViews>
    <sheetView topLeftCell="C1" workbookViewId="0">
      <selection activeCell="O8" sqref="O8:O11"/>
    </sheetView>
  </sheetViews>
  <sheetFormatPr defaultRowHeight="15" x14ac:dyDescent="0.25"/>
  <cols>
    <col min="4" max="4" width="47.140625" customWidth="1"/>
    <col min="9" max="9" width="9.140625" customWidth="1"/>
    <col min="15" max="15" width="14.7109375" customWidth="1"/>
  </cols>
  <sheetData>
    <row r="2" spans="2:15" x14ac:dyDescent="0.25">
      <c r="B2" s="146" t="s">
        <v>188</v>
      </c>
      <c r="C2" s="146"/>
      <c r="D2" s="146"/>
      <c r="E2" s="146"/>
      <c r="F2" s="146"/>
      <c r="G2" s="146"/>
      <c r="H2" s="146"/>
      <c r="I2" s="152"/>
      <c r="J2" s="152"/>
      <c r="K2" s="152"/>
      <c r="M2" s="153"/>
      <c r="O2" s="153"/>
    </row>
    <row r="3" spans="2:15" x14ac:dyDescent="0.25">
      <c r="M3" s="153"/>
      <c r="O3" s="153"/>
    </row>
    <row r="4" spans="2:15" ht="75" x14ac:dyDescent="0.25">
      <c r="B4" s="154" t="s">
        <v>164</v>
      </c>
      <c r="C4" s="121"/>
      <c r="D4" s="155" t="s">
        <v>189</v>
      </c>
      <c r="E4" s="156"/>
      <c r="F4" s="157" t="s">
        <v>163</v>
      </c>
      <c r="G4" s="157"/>
      <c r="H4" s="157"/>
      <c r="I4" s="157"/>
      <c r="J4" s="121"/>
      <c r="K4" s="154" t="s">
        <v>190</v>
      </c>
      <c r="L4" s="121"/>
      <c r="M4" s="154" t="s">
        <v>191</v>
      </c>
      <c r="N4" s="121"/>
      <c r="O4" s="154" t="s">
        <v>192</v>
      </c>
    </row>
    <row r="5" spans="2:15" x14ac:dyDescent="0.25">
      <c r="B5" s="158">
        <v>1</v>
      </c>
      <c r="C5" s="139"/>
      <c r="D5" s="159" t="s">
        <v>193</v>
      </c>
      <c r="E5" s="160"/>
      <c r="F5" s="161" t="s">
        <v>194</v>
      </c>
      <c r="G5" s="162"/>
      <c r="H5" s="162"/>
      <c r="I5" s="163"/>
      <c r="J5" s="160"/>
      <c r="K5" s="164">
        <v>-0.25</v>
      </c>
      <c r="L5" s="160"/>
      <c r="M5" s="165">
        <v>1.2E-2</v>
      </c>
      <c r="N5" s="160"/>
      <c r="O5" s="158">
        <f>Forecasts!K72</f>
        <v>-2815954817.8327098</v>
      </c>
    </row>
    <row r="6" spans="2:15" x14ac:dyDescent="0.25">
      <c r="B6" s="166"/>
      <c r="C6" s="139"/>
      <c r="D6" s="159"/>
      <c r="E6" s="167"/>
      <c r="F6" s="168"/>
      <c r="G6" s="169"/>
      <c r="H6" s="169"/>
      <c r="I6" s="170"/>
      <c r="J6" s="167"/>
      <c r="K6" s="171"/>
      <c r="L6" s="167"/>
      <c r="M6" s="172"/>
      <c r="N6" s="167"/>
      <c r="O6" s="166"/>
    </row>
    <row r="7" spans="2:15" x14ac:dyDescent="0.25">
      <c r="B7" s="131"/>
      <c r="C7" s="173"/>
      <c r="D7" s="174"/>
      <c r="E7" s="121"/>
      <c r="F7" s="159"/>
      <c r="G7" s="159"/>
      <c r="H7" s="159"/>
      <c r="I7" s="159"/>
      <c r="J7" s="121"/>
      <c r="K7" s="131"/>
      <c r="L7" s="121"/>
      <c r="M7" s="175"/>
      <c r="N7" s="121"/>
      <c r="O7" s="131"/>
    </row>
    <row r="8" spans="2:15" ht="15" customHeight="1" x14ac:dyDescent="0.25">
      <c r="B8" s="158">
        <v>2</v>
      </c>
      <c r="C8" s="160"/>
      <c r="D8" s="190" t="s">
        <v>195</v>
      </c>
      <c r="E8" s="160"/>
      <c r="F8" s="161" t="s">
        <v>165</v>
      </c>
      <c r="G8" s="162"/>
      <c r="H8" s="162"/>
      <c r="I8" s="163"/>
      <c r="J8" s="160"/>
      <c r="K8" s="164">
        <v>0.04</v>
      </c>
      <c r="L8" s="160"/>
      <c r="M8" s="165">
        <f>184930683.948857/16391500927.7344</f>
        <v>1.1282108012204943E-2</v>
      </c>
      <c r="N8" s="160"/>
      <c r="O8" s="158">
        <f>((Forecasts!K40*(1+Scenarios!K8))/(Forecasts!K69-Scenarios!K8))*Forecasts!K49</f>
        <v>-13514740412.299973</v>
      </c>
    </row>
    <row r="9" spans="2:15" x14ac:dyDescent="0.25">
      <c r="B9" s="176"/>
      <c r="C9" s="177"/>
      <c r="D9" s="191"/>
      <c r="E9" s="177"/>
      <c r="F9" s="178"/>
      <c r="G9" s="179"/>
      <c r="H9" s="179"/>
      <c r="I9" s="180"/>
      <c r="J9" s="177"/>
      <c r="K9" s="181"/>
      <c r="L9" s="177"/>
      <c r="M9" s="182"/>
      <c r="N9" s="177"/>
      <c r="O9" s="176"/>
    </row>
    <row r="10" spans="2:15" x14ac:dyDescent="0.25">
      <c r="B10" s="176"/>
      <c r="C10" s="177"/>
      <c r="D10" s="191"/>
      <c r="E10" s="177"/>
      <c r="F10" s="178"/>
      <c r="G10" s="179"/>
      <c r="H10" s="179"/>
      <c r="I10" s="180"/>
      <c r="J10" s="177"/>
      <c r="K10" s="181"/>
      <c r="L10" s="177"/>
      <c r="M10" s="182"/>
      <c r="N10" s="177"/>
      <c r="O10" s="176"/>
    </row>
    <row r="11" spans="2:15" ht="15" customHeight="1" x14ac:dyDescent="0.25">
      <c r="B11" s="166"/>
      <c r="C11" s="167"/>
      <c r="D11" s="192"/>
      <c r="E11" s="167"/>
      <c r="F11" s="168"/>
      <c r="G11" s="169"/>
      <c r="H11" s="169"/>
      <c r="I11" s="170"/>
      <c r="J11" s="167"/>
      <c r="K11" s="171"/>
      <c r="L11" s="167"/>
      <c r="M11" s="172"/>
      <c r="N11" s="167"/>
      <c r="O11" s="166"/>
    </row>
    <row r="12" spans="2:15" x14ac:dyDescent="0.25">
      <c r="B12" s="131"/>
      <c r="C12" s="121"/>
      <c r="D12" s="183"/>
      <c r="E12" s="121"/>
      <c r="F12" s="159"/>
      <c r="G12" s="159"/>
      <c r="H12" s="159"/>
      <c r="I12" s="159"/>
      <c r="J12" s="121"/>
      <c r="K12" s="131"/>
      <c r="L12" s="121"/>
      <c r="M12" s="175"/>
      <c r="N12" s="121"/>
      <c r="O12" s="131"/>
    </row>
    <row r="13" spans="2:15" x14ac:dyDescent="0.25">
      <c r="B13" s="158">
        <v>3</v>
      </c>
      <c r="C13" s="160"/>
      <c r="D13" s="159" t="s">
        <v>196</v>
      </c>
      <c r="E13" s="160"/>
      <c r="F13" s="161" t="s">
        <v>166</v>
      </c>
      <c r="G13" s="162"/>
      <c r="H13" s="162"/>
      <c r="I13" s="163"/>
      <c r="J13" s="160"/>
      <c r="K13" s="164">
        <v>0</v>
      </c>
      <c r="L13" s="160"/>
      <c r="M13" s="165">
        <f>207282909.73658/20748735351.5625</f>
        <v>9.9901466872278754E-3</v>
      </c>
      <c r="N13" s="160"/>
      <c r="O13" s="158">
        <f>(([1]Forecasts!K40*(1+K13))/([1]Forecasts!K69-K13))*[1]Forecasts!K49</f>
        <v>-13514740412.299973</v>
      </c>
    </row>
    <row r="14" spans="2:15" x14ac:dyDescent="0.25">
      <c r="B14" s="176"/>
      <c r="C14" s="177"/>
      <c r="D14" s="159"/>
      <c r="E14" s="177"/>
      <c r="F14" s="178"/>
      <c r="G14" s="179"/>
      <c r="H14" s="179"/>
      <c r="I14" s="180"/>
      <c r="J14" s="177"/>
      <c r="K14" s="181"/>
      <c r="L14" s="177"/>
      <c r="M14" s="182"/>
      <c r="N14" s="177"/>
      <c r="O14" s="176"/>
    </row>
    <row r="15" spans="2:15" x14ac:dyDescent="0.25">
      <c r="B15" s="166"/>
      <c r="C15" s="167"/>
      <c r="D15" s="159"/>
      <c r="E15" s="167"/>
      <c r="F15" s="168"/>
      <c r="G15" s="169"/>
      <c r="H15" s="169"/>
      <c r="I15" s="170"/>
      <c r="J15" s="167"/>
      <c r="K15" s="171"/>
      <c r="L15" s="167"/>
      <c r="M15" s="172"/>
      <c r="N15" s="167"/>
      <c r="O15" s="166"/>
    </row>
    <row r="16" spans="2:15" ht="15" customHeight="1" x14ac:dyDescent="0.25">
      <c r="B16" s="131"/>
      <c r="C16" s="121"/>
      <c r="D16" s="183"/>
      <c r="E16" s="121"/>
      <c r="F16" s="159"/>
      <c r="G16" s="159"/>
      <c r="H16" s="159"/>
      <c r="I16" s="159"/>
      <c r="J16" s="121"/>
      <c r="K16" s="131"/>
      <c r="L16" s="121"/>
      <c r="M16" s="131"/>
      <c r="N16" s="121"/>
      <c r="O16" s="131"/>
    </row>
    <row r="17" spans="2:15" x14ac:dyDescent="0.25">
      <c r="B17" s="158">
        <v>4</v>
      </c>
      <c r="C17" s="160"/>
      <c r="D17" s="159" t="s">
        <v>197</v>
      </c>
      <c r="E17" s="158"/>
      <c r="F17" s="184" t="s">
        <v>198</v>
      </c>
      <c r="G17" s="185"/>
      <c r="H17" s="185"/>
      <c r="I17" s="186"/>
      <c r="J17" s="160"/>
      <c r="K17" s="164">
        <v>0</v>
      </c>
      <c r="L17" s="160"/>
      <c r="M17" s="164">
        <v>0</v>
      </c>
      <c r="N17" s="160"/>
      <c r="O17" s="158">
        <v>0</v>
      </c>
    </row>
    <row r="18" spans="2:15" x14ac:dyDescent="0.25">
      <c r="B18" s="166"/>
      <c r="C18" s="167"/>
      <c r="D18" s="159"/>
      <c r="E18" s="166"/>
      <c r="F18" s="187"/>
      <c r="G18" s="188"/>
      <c r="H18" s="188"/>
      <c r="I18" s="189"/>
      <c r="J18" s="167"/>
      <c r="K18" s="171"/>
      <c r="L18" s="167"/>
      <c r="M18" s="171"/>
      <c r="N18" s="167"/>
      <c r="O18" s="166"/>
    </row>
  </sheetData>
  <mergeCells count="49">
    <mergeCell ref="O13:O15"/>
    <mergeCell ref="F16:I16"/>
    <mergeCell ref="B17:B18"/>
    <mergeCell ref="C17:C18"/>
    <mergeCell ref="D17:D18"/>
    <mergeCell ref="E17:E18"/>
    <mergeCell ref="F17:I18"/>
    <mergeCell ref="J17:J18"/>
    <mergeCell ref="K17:K18"/>
    <mergeCell ref="L17:L18"/>
    <mergeCell ref="B13:B15"/>
    <mergeCell ref="C13:C15"/>
    <mergeCell ref="D13:D15"/>
    <mergeCell ref="E13:E15"/>
    <mergeCell ref="F13:I15"/>
    <mergeCell ref="J13:J15"/>
    <mergeCell ref="O5:O6"/>
    <mergeCell ref="F7:I7"/>
    <mergeCell ref="B8:B11"/>
    <mergeCell ref="C8:C11"/>
    <mergeCell ref="D8:D11"/>
    <mergeCell ref="E8:E11"/>
    <mergeCell ref="F8:I11"/>
    <mergeCell ref="J8:J11"/>
    <mergeCell ref="K8:K11"/>
    <mergeCell ref="L8:L11"/>
    <mergeCell ref="B2:H2"/>
    <mergeCell ref="F4:I4"/>
    <mergeCell ref="B5:B6"/>
    <mergeCell ref="C5:C6"/>
    <mergeCell ref="D5:D6"/>
    <mergeCell ref="E5:E6"/>
    <mergeCell ref="F5:I6"/>
    <mergeCell ref="M17:M18"/>
    <mergeCell ref="N17:N18"/>
    <mergeCell ref="O17:O18"/>
    <mergeCell ref="K13:K15"/>
    <mergeCell ref="L13:L15"/>
    <mergeCell ref="M13:M15"/>
    <mergeCell ref="N13:N15"/>
    <mergeCell ref="M8:M11"/>
    <mergeCell ref="N8:N11"/>
    <mergeCell ref="O8:O11"/>
    <mergeCell ref="F12:I12"/>
    <mergeCell ref="K5:K6"/>
    <mergeCell ref="L5:L6"/>
    <mergeCell ref="M5:M6"/>
    <mergeCell ref="N5:N6"/>
    <mergeCell ref="J5:J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2:N14"/>
  <sheetViews>
    <sheetView topLeftCell="B1" workbookViewId="0">
      <selection activeCell="D13" sqref="D13"/>
    </sheetView>
  </sheetViews>
  <sheetFormatPr defaultRowHeight="15" x14ac:dyDescent="0.25"/>
  <cols>
    <col min="2" max="2" width="11.42578125" bestFit="1" customWidth="1"/>
    <col min="4" max="4" width="17.85546875" customWidth="1"/>
    <col min="5" max="5" width="21.28515625" customWidth="1"/>
    <col min="6" max="6" width="26.140625" customWidth="1"/>
    <col min="7" max="7" width="18.28515625" bestFit="1" customWidth="1"/>
    <col min="8" max="8" width="26.42578125" bestFit="1" customWidth="1"/>
    <col min="9" max="9" width="26.28515625" bestFit="1" customWidth="1"/>
    <col min="10" max="10" width="17.7109375" bestFit="1" customWidth="1"/>
    <col min="11" max="11" width="13.7109375" bestFit="1" customWidth="1"/>
    <col min="17" max="17" width="12.7109375" bestFit="1" customWidth="1"/>
  </cols>
  <sheetData>
    <row r="2" spans="2:14" x14ac:dyDescent="0.25">
      <c r="B2" s="146" t="s">
        <v>162</v>
      </c>
      <c r="C2" s="146"/>
      <c r="D2" s="146"/>
      <c r="E2" s="146"/>
      <c r="F2" s="146"/>
      <c r="G2" s="146"/>
      <c r="H2" s="146"/>
      <c r="I2" s="146"/>
    </row>
    <row r="4" spans="2:14" x14ac:dyDescent="0.25">
      <c r="B4" t="s">
        <v>164</v>
      </c>
      <c r="D4" t="s">
        <v>163</v>
      </c>
      <c r="G4" t="s">
        <v>178</v>
      </c>
      <c r="H4" t="s">
        <v>174</v>
      </c>
      <c r="I4" t="s">
        <v>175</v>
      </c>
      <c r="J4" t="s">
        <v>176</v>
      </c>
      <c r="K4" t="s">
        <v>177</v>
      </c>
    </row>
    <row r="5" spans="2:14" x14ac:dyDescent="0.25">
      <c r="B5" s="148">
        <v>1</v>
      </c>
      <c r="D5" s="147" t="s">
        <v>179</v>
      </c>
      <c r="E5" s="147"/>
      <c r="F5" s="147"/>
      <c r="G5" s="149">
        <f>Inputs!B43</f>
        <v>33020000000</v>
      </c>
      <c r="H5" s="148">
        <v>-13271501781.195499</v>
      </c>
      <c r="I5" s="150">
        <v>-12622426872.833433</v>
      </c>
      <c r="J5" s="151">
        <f>SUM(G5:I5)</f>
        <v>7126071345.9710674</v>
      </c>
      <c r="K5" s="150">
        <f>J5/Inputs!B10</f>
        <v>0.49520996149903179</v>
      </c>
      <c r="N5" s="112"/>
    </row>
    <row r="6" spans="2:14" x14ac:dyDescent="0.25">
      <c r="B6" s="148"/>
      <c r="D6" s="147"/>
      <c r="E6" s="147"/>
      <c r="F6" s="147"/>
      <c r="G6" s="149"/>
      <c r="H6" s="148"/>
      <c r="I6" s="150"/>
      <c r="J6" s="151"/>
      <c r="K6" s="150"/>
    </row>
    <row r="7" spans="2:14" x14ac:dyDescent="0.25">
      <c r="B7" s="148"/>
      <c r="D7" s="147"/>
      <c r="E7" s="147"/>
      <c r="F7" s="147"/>
      <c r="G7" s="149"/>
      <c r="H7" s="148"/>
      <c r="I7" s="150"/>
      <c r="J7" s="151"/>
      <c r="K7" s="150"/>
      <c r="N7" s="112"/>
    </row>
    <row r="8" spans="2:14" x14ac:dyDescent="0.25">
      <c r="J8" s="117"/>
      <c r="K8" s="111"/>
      <c r="N8" s="112"/>
    </row>
    <row r="9" spans="2:14" x14ac:dyDescent="0.25">
      <c r="B9" s="148">
        <v>2</v>
      </c>
      <c r="D9" s="147" t="s">
        <v>180</v>
      </c>
      <c r="E9" s="147"/>
      <c r="F9" s="147"/>
      <c r="G9" s="148">
        <f>Inputs!B43</f>
        <v>33020000000</v>
      </c>
      <c r="H9" s="148">
        <v>-15601995296.132582</v>
      </c>
      <c r="I9" s="148">
        <v>-2735375712.1102719</v>
      </c>
      <c r="J9" s="148">
        <f t="shared" ref="J9" si="0">SUM(G9:I9)</f>
        <v>14682628991.757145</v>
      </c>
      <c r="K9" s="148">
        <f>J9/Inputs!B10</f>
        <v>1.0203355796912539</v>
      </c>
      <c r="N9" s="112"/>
    </row>
    <row r="10" spans="2:14" x14ac:dyDescent="0.25">
      <c r="B10" s="148"/>
      <c r="D10" s="147"/>
      <c r="E10" s="147"/>
      <c r="F10" s="147"/>
      <c r="G10" s="148"/>
      <c r="H10" s="148"/>
      <c r="I10" s="148"/>
      <c r="J10" s="148"/>
      <c r="K10" s="148"/>
      <c r="N10" s="112"/>
    </row>
    <row r="11" spans="2:14" x14ac:dyDescent="0.25">
      <c r="B11" s="148"/>
      <c r="D11" s="147"/>
      <c r="E11" s="147"/>
      <c r="F11" s="147"/>
      <c r="G11" s="148"/>
      <c r="H11" s="148"/>
      <c r="I11" s="148"/>
      <c r="J11" s="148"/>
      <c r="K11" s="148"/>
      <c r="N11" s="112"/>
    </row>
    <row r="12" spans="2:14" x14ac:dyDescent="0.25">
      <c r="N12" s="112"/>
    </row>
    <row r="14" spans="2:14" x14ac:dyDescent="0.25">
      <c r="K14" s="111"/>
      <c r="N14" s="111"/>
    </row>
  </sheetData>
  <mergeCells count="15">
    <mergeCell ref="J5:J7"/>
    <mergeCell ref="K5:K7"/>
    <mergeCell ref="D9:F11"/>
    <mergeCell ref="B9:B11"/>
    <mergeCell ref="G9:G11"/>
    <mergeCell ref="H9:H11"/>
    <mergeCell ref="I9:I11"/>
    <mergeCell ref="J9:J11"/>
    <mergeCell ref="K9:K11"/>
    <mergeCell ref="B2:I2"/>
    <mergeCell ref="D5:F7"/>
    <mergeCell ref="B5:B7"/>
    <mergeCell ref="G5:G7"/>
    <mergeCell ref="H5:H7"/>
    <mergeCell ref="I5:I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Introduction</vt:lpstr>
      <vt:lpstr>Inputs</vt:lpstr>
      <vt:lpstr>Forecasts</vt:lpstr>
      <vt:lpstr>Valuation Summary</vt:lpstr>
      <vt:lpstr>Terminal Value</vt:lpstr>
      <vt:lpstr>Scenarios 1</vt:lpstr>
      <vt:lpstr>Scenarios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 Duffy</dc:creator>
  <cp:lastModifiedBy>Felicity O'Connell</cp:lastModifiedBy>
  <dcterms:created xsi:type="dcterms:W3CDTF">2010-10-12T16:14:53Z</dcterms:created>
  <dcterms:modified xsi:type="dcterms:W3CDTF">2016-02-29T09:11:25Z</dcterms:modified>
</cp:coreProperties>
</file>